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_xlnm.Print_Titles" localSheetId="0">'Worksheet'!$1:$1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<sst xmlns="http://schemas.openxmlformats.org/spreadsheetml/2006/main" uniqueCount="1272">
  <si>
    <t>Barcode No</t>
  </si>
  <si>
    <t>District</t>
  </si>
  <si>
    <t>Facility Type</t>
  </si>
  <si>
    <t>Facility Name</t>
  </si>
  <si>
    <t>Department</t>
  </si>
  <si>
    <t>Device Group</t>
  </si>
  <si>
    <t>Device Name</t>
  </si>
  <si>
    <t>Device Class</t>
  </si>
  <si>
    <t>Manufacturer</t>
  </si>
  <si>
    <t>Model</t>
  </si>
  <si>
    <t>Serial No.</t>
  </si>
  <si>
    <t>Purchase Value</t>
  </si>
  <si>
    <t>Estimated Purchase Value</t>
  </si>
  <si>
    <t>Installation Date</t>
  </si>
  <si>
    <t>Date of Receipt</t>
  </si>
  <si>
    <t>Contract Status</t>
  </si>
  <si>
    <t>Warranty Start Date</t>
  </si>
  <si>
    <t>Warranty End Date</t>
  </si>
  <si>
    <t>Current Status</t>
  </si>
  <si>
    <t>Status@Tagging</t>
  </si>
  <si>
    <t>Date Of Upload</t>
  </si>
  <si>
    <t>Entered By</t>
  </si>
  <si>
    <t>Verification Date</t>
  </si>
  <si>
    <t>Verified By</t>
  </si>
  <si>
    <t>Tagging Date</t>
  </si>
  <si>
    <t>Change service Status Date</t>
  </si>
  <si>
    <t>Current Service Status</t>
  </si>
  <si>
    <t>Service Status@verification</t>
  </si>
  <si>
    <t>Asset Transfer Remark</t>
  </si>
  <si>
    <t>Edit Remark</t>
  </si>
  <si>
    <t>KAPURTHALA</t>
  </si>
  <si>
    <t>DH</t>
  </si>
  <si>
    <t>DH KAPURTHALA</t>
  </si>
  <si>
    <t>RADIOLOGY</t>
  </si>
  <si>
    <t>DIGITAL RADIOGRAPHY SYSTEM (DR)</t>
  </si>
  <si>
    <t>CRITICAL</t>
  </si>
  <si>
    <t>CARESTREAM HEALTH</t>
  </si>
  <si>
    <t>5950 laser imager</t>
  </si>
  <si>
    <t xml:space="preserve"> </t>
  </si>
  <si>
    <t>UNDER WARRANTY</t>
  </si>
  <si>
    <t>27-03-2024</t>
  </si>
  <si>
    <t>26-03-2026</t>
  </si>
  <si>
    <t>WORKING</t>
  </si>
  <si>
    <t>06-12-2024</t>
  </si>
  <si>
    <t>AOVPB019 - Akash</t>
  </si>
  <si>
    <t>AOVPB025 - BALINDER</t>
  </si>
  <si>
    <t>28-09-2024</t>
  </si>
  <si>
    <t>active</t>
  </si>
  <si>
    <t>LABORATORY</t>
  </si>
  <si>
    <t>COAGULATION ANALYZER</t>
  </si>
  <si>
    <t>NON CRITICAL</t>
  </si>
  <si>
    <t>DIAGON LTD.</t>
  </si>
  <si>
    <t>caag 4d</t>
  </si>
  <si>
    <t>UNDER BMC</t>
  </si>
  <si>
    <t>01-10-2024</t>
  </si>
  <si>
    <t>MAIN OT</t>
  </si>
  <si>
    <t>STERILIZER</t>
  </si>
  <si>
    <t>AUTOCLAVE-VERTICAL</t>
  </si>
  <si>
    <t>REICO</t>
  </si>
  <si>
    <t>na</t>
  </si>
  <si>
    <t>24-09-2024</t>
  </si>
  <si>
    <t>SDH</t>
  </si>
  <si>
    <t>SDH SULTANPUR LODHI</t>
  </si>
  <si>
    <t xml:space="preserve">ICU </t>
  </si>
  <si>
    <t>OTHERS</t>
  </si>
  <si>
    <t>IN ARM BLOOD PRESSURE RECORDER UNIT</t>
  </si>
  <si>
    <t>A&amp;D MEDICAL</t>
  </si>
  <si>
    <t>TM-2657P</t>
  </si>
  <si>
    <t>NOT WORKING</t>
  </si>
  <si>
    <t>12-09-2024</t>
  </si>
  <si>
    <t>Inactive</t>
  </si>
  <si>
    <t>SDH PHAGWARA</t>
  </si>
  <si>
    <t>EMERGENCY</t>
  </si>
  <si>
    <t>GENIST TECHNOCRACY PVT LTD</t>
  </si>
  <si>
    <t>gta-001</t>
  </si>
  <si>
    <t>06-06-2024</t>
  </si>
  <si>
    <t>05-06-2025</t>
  </si>
  <si>
    <t>AOVPB052 - KAPIL KUMAR</t>
  </si>
  <si>
    <t>27-09-2024</t>
  </si>
  <si>
    <t>LABOR ROOM</t>
  </si>
  <si>
    <t>SCALE</t>
  </si>
  <si>
    <t>BABY WEIGHING MACHINE</t>
  </si>
  <si>
    <t>PHOENIX MEDICAL SYSTEM(P) LTD.</t>
  </si>
  <si>
    <t>nby</t>
  </si>
  <si>
    <t>20-11-2024</t>
  </si>
  <si>
    <t>MICROSCOPE-BINOCULAR</t>
  </si>
  <si>
    <t>RADICAL</t>
  </si>
  <si>
    <t>rxk5</t>
  </si>
  <si>
    <t>CHC</t>
  </si>
  <si>
    <t>CHC KALA SANGHIAN</t>
  </si>
  <si>
    <t>MICROSCOPE</t>
  </si>
  <si>
    <t>SUSWOX</t>
  </si>
  <si>
    <t>30-11-2024</t>
  </si>
  <si>
    <t>SNCU</t>
  </si>
  <si>
    <t>WARMER</t>
  </si>
  <si>
    <t>RADIANT BABY WARMER</t>
  </si>
  <si>
    <t>AVI HEALTH CARE</t>
  </si>
  <si>
    <t>iw4000</t>
  </si>
  <si>
    <t>13-11-2024</t>
  </si>
  <si>
    <t>OXYGEN CONCENTRATOR</t>
  </si>
  <si>
    <t>LOCAL</t>
  </si>
  <si>
    <t>qj zy10la</t>
  </si>
  <si>
    <t xml:space="preserve">KONSUNG BIOMEDICAL </t>
  </si>
  <si>
    <t>ksoc 10</t>
  </si>
  <si>
    <t>EMERGENCY OT</t>
  </si>
  <si>
    <t xml:space="preserve">MEDOXY </t>
  </si>
  <si>
    <t>jay 10</t>
  </si>
  <si>
    <t>17-09-2024</t>
  </si>
  <si>
    <t>ASPIRATOR</t>
  </si>
  <si>
    <t>SUCTION MACHINE</t>
  </si>
  <si>
    <t>BALAJI ENTERPRIZES</t>
  </si>
  <si>
    <t>CHC FATTU DHINGA</t>
  </si>
  <si>
    <t>STORE</t>
  </si>
  <si>
    <t>SURGICAL</t>
  </si>
  <si>
    <t>SURGICAL ELECTRIC CAUTERY</t>
  </si>
  <si>
    <t>ALAN ELECTRONIC SYSTEM</t>
  </si>
  <si>
    <t>Elsy360L+</t>
  </si>
  <si>
    <t>16-10-2024</t>
  </si>
  <si>
    <t>BLOOD BANK</t>
  </si>
  <si>
    <t>TUBE SEALER</t>
  </si>
  <si>
    <t>MARKS</t>
  </si>
  <si>
    <t>MBBTS-02</t>
  </si>
  <si>
    <t>27-05-2024</t>
  </si>
  <si>
    <t>26-05-2026</t>
  </si>
  <si>
    <t>27-11-2024</t>
  </si>
  <si>
    <t>ULTRASOUND</t>
  </si>
  <si>
    <t>ULTRASOUND MACHINE WITH COLOUR DOPPLER</t>
  </si>
  <si>
    <t>SAMSUNG MEDISON</t>
  </si>
  <si>
    <t>HS30</t>
  </si>
  <si>
    <t>08-05-2024</t>
  </si>
  <si>
    <t>07-05-2026</t>
  </si>
  <si>
    <t>08-10-2024</t>
  </si>
  <si>
    <t>USG ROOM</t>
  </si>
  <si>
    <t>SDH BHOLATH</t>
  </si>
  <si>
    <t>09-10-2024</t>
  </si>
  <si>
    <t>ICTC</t>
  </si>
  <si>
    <t>ICE LINING REFRIGERATOR</t>
  </si>
  <si>
    <t>GODREJ</t>
  </si>
  <si>
    <t>MR ILR GVR225 AC</t>
  </si>
  <si>
    <t>26-09-2024</t>
  </si>
  <si>
    <t>URINE ANALYZER</t>
  </si>
  <si>
    <t>ERBA</t>
  </si>
  <si>
    <t>laura smart</t>
  </si>
  <si>
    <t>TABLE</t>
  </si>
  <si>
    <t>OPERATION TABLE (HYDRAULIC)</t>
  </si>
  <si>
    <t>02-11-2024</t>
  </si>
  <si>
    <t>ECG Room</t>
  </si>
  <si>
    <t>CARDIOLOGY</t>
  </si>
  <si>
    <t>ECG MACHINE</t>
  </si>
  <si>
    <t>RMS</t>
  </si>
  <si>
    <t>VESTA 301-i</t>
  </si>
  <si>
    <t>DENTAL OPD</t>
  </si>
  <si>
    <t>DENTAL</t>
  </si>
  <si>
    <t>RADIO VISION GRAM (RVG)</t>
  </si>
  <si>
    <t>VATECH INDIA</t>
  </si>
  <si>
    <t>ios-u151b</t>
  </si>
  <si>
    <t>18-03-2024</t>
  </si>
  <si>
    <t>17-03-2027</t>
  </si>
  <si>
    <t>ELISA READER &amp; WASHER</t>
  </si>
  <si>
    <t>AVANTOR PERFORMANCE MATERIALS INDIA PVT LTD</t>
  </si>
  <si>
    <t>BENE SPHERA W21</t>
  </si>
  <si>
    <t>20-04-2024</t>
  </si>
  <si>
    <t>19-04-2026</t>
  </si>
  <si>
    <t>ROBONIK</t>
  </si>
  <si>
    <t>FOUR CLOT</t>
  </si>
  <si>
    <t>CHC TIBBA</t>
  </si>
  <si>
    <t>MONITOR</t>
  </si>
  <si>
    <t>MULTIPARA MONITOR</t>
  </si>
  <si>
    <t>MEDITEC ENGLAND</t>
  </si>
  <si>
    <t>M-302</t>
  </si>
  <si>
    <t>05-12-2024</t>
  </si>
  <si>
    <t>18-10-2024</t>
  </si>
  <si>
    <t>BLOOD DONOR COUCH</t>
  </si>
  <si>
    <t>REMI</t>
  </si>
  <si>
    <t>DZIRE 1X</t>
  </si>
  <si>
    <t>11-06-2024</t>
  </si>
  <si>
    <t>10-06-2026</t>
  </si>
  <si>
    <t>dzire 1x</t>
  </si>
  <si>
    <t>AUTOCLAVE (FLASH AUTOCLAVE)</t>
  </si>
  <si>
    <t>APOZA ENTERPRISE CO.LTD.</t>
  </si>
  <si>
    <t>ad7 prima</t>
  </si>
  <si>
    <t>22-11-2024</t>
  </si>
  <si>
    <t>MICROBIOLOGY</t>
  </si>
  <si>
    <t>MEDILUX</t>
  </si>
  <si>
    <t>23-05-2024</t>
  </si>
  <si>
    <t>22-05-2025</t>
  </si>
  <si>
    <t>07-09-2024</t>
  </si>
  <si>
    <t>PHYSIOLOGY</t>
  </si>
  <si>
    <t>PHYSIOTHERAPY</t>
  </si>
  <si>
    <t>DIGITAL ULTRASONIC THERAPY UNIT</t>
  </si>
  <si>
    <t>30-10-2023</t>
  </si>
  <si>
    <t>29-10-2024</t>
  </si>
  <si>
    <t>ELECTRICAL MUSCLE STIMULATOR</t>
  </si>
  <si>
    <t>PARAFIN WAX BATH</t>
  </si>
  <si>
    <t>PUMP INFUSION</t>
  </si>
  <si>
    <t>SYRINGE PUMP</t>
  </si>
  <si>
    <t>B. BRAUN</t>
  </si>
  <si>
    <t>PERFUSOR COMPACT</t>
  </si>
  <si>
    <t>COVID-19 RTPCR LAB</t>
  </si>
  <si>
    <t>PCR WORKSTATION</t>
  </si>
  <si>
    <t>Deepak Interprices</t>
  </si>
  <si>
    <t>DI-1103</t>
  </si>
  <si>
    <t>d-113</t>
  </si>
  <si>
    <t>ELECTRIC CENTRIFUGE TABLE TOP</t>
  </si>
  <si>
    <t xml:space="preserve">NEUATION </t>
  </si>
  <si>
    <t>ifuge m08vt</t>
  </si>
  <si>
    <t>OPD</t>
  </si>
  <si>
    <t>tm 2657p</t>
  </si>
  <si>
    <t>05-09-2024</t>
  </si>
  <si>
    <t>22-07-2024</t>
  </si>
  <si>
    <t>MALE WARD</t>
  </si>
  <si>
    <t>L &amp; T MEDICAL EQUIPMENT</t>
  </si>
  <si>
    <t>micromon n</t>
  </si>
  <si>
    <t>01-09-2024</t>
  </si>
  <si>
    <t>15-07-2024</t>
  </si>
  <si>
    <t>NTEP (TB DEPTT)</t>
  </si>
  <si>
    <t>MICROSCOPE (LED)</t>
  </si>
  <si>
    <t xml:space="preserve">MAGNUS </t>
  </si>
  <si>
    <t>mlxi plus led</t>
  </si>
  <si>
    <t>12-01-2024</t>
  </si>
  <si>
    <t>12-01-2027</t>
  </si>
  <si>
    <t>19-07-2024</t>
  </si>
  <si>
    <t>CHC PANCHHAT</t>
  </si>
  <si>
    <t>KSOC-10</t>
  </si>
  <si>
    <t>27-08-2024</t>
  </si>
  <si>
    <t>AOVPB046 - Sushil Kumar</t>
  </si>
  <si>
    <t>13-07-2024</t>
  </si>
  <si>
    <t>YUWELL</t>
  </si>
  <si>
    <t>7F-10</t>
  </si>
  <si>
    <t>22-08-2024</t>
  </si>
  <si>
    <t>PHC</t>
  </si>
  <si>
    <t>PHC Dhilwan</t>
  </si>
  <si>
    <t>16-04-2024</t>
  </si>
  <si>
    <t>remi weldon - B</t>
  </si>
  <si>
    <t>12-05-2023</t>
  </si>
  <si>
    <t>11-05-2024</t>
  </si>
  <si>
    <t>15-03-2024</t>
  </si>
  <si>
    <t>TRANSCUTANEOUS ELECTRICAL NERVE STIMULATOR (TENS)</t>
  </si>
  <si>
    <t>tens 4 channel</t>
  </si>
  <si>
    <t>05-10-2023</t>
  </si>
  <si>
    <t>04-10-2024</t>
  </si>
  <si>
    <t>17-05-2024</t>
  </si>
  <si>
    <t>SHORTWAVE DIATHERMY</t>
  </si>
  <si>
    <t>shortwave diathermy 500w</t>
  </si>
  <si>
    <t>CHC BEGOWAL</t>
  </si>
  <si>
    <t>LABOUR OT</t>
  </si>
  <si>
    <t>PULSE OXIMETER</t>
  </si>
  <si>
    <t>PULSE OXYMETER</t>
  </si>
  <si>
    <t>m302</t>
  </si>
  <si>
    <t>15-05-2024</t>
  </si>
  <si>
    <t>INTERFERENTIAL THERAPY UNIT (IFT)</t>
  </si>
  <si>
    <t>22-05-2024</t>
  </si>
  <si>
    <t>PHC BHANO LANGA</t>
  </si>
  <si>
    <t>IMMUNIZATION DEPTT (COLD CHAIN ROOM)</t>
  </si>
  <si>
    <t>VESTFROST DENMARK</t>
  </si>
  <si>
    <t>MK 144</t>
  </si>
  <si>
    <t>02-04-2024</t>
  </si>
  <si>
    <t>PHC DIDWINDI</t>
  </si>
  <si>
    <t>HAIER</t>
  </si>
  <si>
    <t>HBC-70</t>
  </si>
  <si>
    <t>MRGVR 99L AG WHITE</t>
  </si>
  <si>
    <t>03-04-2024</t>
  </si>
  <si>
    <t>ALLENGERS</t>
  </si>
  <si>
    <t>pisces-a-103</t>
  </si>
  <si>
    <t>Emergency Office</t>
  </si>
  <si>
    <t>vesta301i</t>
  </si>
  <si>
    <t>TO BE CONDEMNED</t>
  </si>
  <si>
    <t>dzire 2x</t>
  </si>
  <si>
    <t>13-07-2023</t>
  </si>
  <si>
    <t>12-07-2024</t>
  </si>
  <si>
    <t>16-03-2024</t>
  </si>
  <si>
    <t>DZIRE-2X</t>
  </si>
  <si>
    <t>11-10-2023</t>
  </si>
  <si>
    <t>10-10-2025</t>
  </si>
  <si>
    <t>BLOOD COLLECTION MONITOR</t>
  </si>
  <si>
    <t>BCM-10 ULTRA</t>
  </si>
  <si>
    <t>11-07-2023</t>
  </si>
  <si>
    <t>10-07-2024</t>
  </si>
  <si>
    <t>omnicard 12c</t>
  </si>
  <si>
    <t>21-05-2024</t>
  </si>
  <si>
    <t>DEEP FREEZER-20</t>
  </si>
  <si>
    <t>MF 144</t>
  </si>
  <si>
    <t>HBD-116</t>
  </si>
  <si>
    <t>AUTOCLAVE-SMALL VERTICAL</t>
  </si>
  <si>
    <t>AUTOCLAVE-HORIZONTAL</t>
  </si>
  <si>
    <t>10-04-2024</t>
  </si>
  <si>
    <t>PHOTOTHERAPY</t>
  </si>
  <si>
    <t>PHOTOTHERAPY UNIT (SINGLE SURFACE)</t>
  </si>
  <si>
    <t>24-02-2024</t>
  </si>
  <si>
    <t>24-01-2024</t>
  </si>
  <si>
    <t>MICROSIL</t>
  </si>
  <si>
    <t>T 10</t>
  </si>
  <si>
    <t>04-12-2023</t>
  </si>
  <si>
    <t>11-09-2023</t>
  </si>
  <si>
    <t>ROTAR/SHAKER (VDRL)</t>
  </si>
  <si>
    <t>QUALITY INDUSTRIES</t>
  </si>
  <si>
    <t>15-11-2023</t>
  </si>
  <si>
    <t>8F-5A</t>
  </si>
  <si>
    <t>25-09-2023</t>
  </si>
  <si>
    <t>MEDIAID</t>
  </si>
  <si>
    <t>900P</t>
  </si>
  <si>
    <t>13-09-2023</t>
  </si>
  <si>
    <t>COVIDIEN IRELAND LTD</t>
  </si>
  <si>
    <t>nellcor</t>
  </si>
  <si>
    <t>06-11-2023</t>
  </si>
  <si>
    <t>REFRIGERATED CENTRIFUGE MACHINE</t>
  </si>
  <si>
    <t>THERMO FISHER SCIENTIFIC</t>
  </si>
  <si>
    <t>sarvall st plus series</t>
  </si>
  <si>
    <t>21-11-2023</t>
  </si>
  <si>
    <t>IGENE LABSERVE</t>
  </si>
  <si>
    <t>ig pcr 11</t>
  </si>
  <si>
    <t>PHILIPS</t>
  </si>
  <si>
    <t>MX-500</t>
  </si>
  <si>
    <t>02-12-2023</t>
  </si>
  <si>
    <t>MICROTEK</t>
  </si>
  <si>
    <t>NA</t>
  </si>
  <si>
    <t>TARSONS</t>
  </si>
  <si>
    <t>spinix</t>
  </si>
  <si>
    <t>BARCODE UPDATED</t>
  </si>
  <si>
    <t>EPPENDORF</t>
  </si>
  <si>
    <t>mini spin plus</t>
  </si>
  <si>
    <t>ifuge cs2p</t>
  </si>
  <si>
    <t>THERMAL CYCLER (REAL TIME PCR)</t>
  </si>
  <si>
    <t>APPLIED BIOSYSTEMS</t>
  </si>
  <si>
    <t>quantstudio tm5dx</t>
  </si>
  <si>
    <t>BIORAD</t>
  </si>
  <si>
    <t>cfx 96</t>
  </si>
  <si>
    <t xml:space="preserve">DNA/RNA EXTRACTOR </t>
  </si>
  <si>
    <t>kingfisher flex</t>
  </si>
  <si>
    <t>01-12-2023</t>
  </si>
  <si>
    <t>DEEP FREEZER-80</t>
  </si>
  <si>
    <t>PDV-360 ULTRA</t>
  </si>
  <si>
    <t>DEEP FREEZER-40</t>
  </si>
  <si>
    <t>RPF-336</t>
  </si>
  <si>
    <t>BIOSAFETY CABINET</t>
  </si>
  <si>
    <t>28-11-2023</t>
  </si>
  <si>
    <t>TANCO INDIA</t>
  </si>
  <si>
    <t>PT-101C</t>
  </si>
  <si>
    <t>23-11-2023</t>
  </si>
  <si>
    <t>EYE O. P. D</t>
  </si>
  <si>
    <t>OPTHALMOLOGY</t>
  </si>
  <si>
    <t>RETINOSCOPE</t>
  </si>
  <si>
    <t>HEINE</t>
  </si>
  <si>
    <t>Beta 200</t>
  </si>
  <si>
    <t>DIALYSIS</t>
  </si>
  <si>
    <t>REVERSE OSMOSIS PLANT (RO PLANT)</t>
  </si>
  <si>
    <t>09-11-2023</t>
  </si>
  <si>
    <t>08-11-2023</t>
  </si>
  <si>
    <t>GENERAL WARD</t>
  </si>
  <si>
    <t>PISCES-A-103</t>
  </si>
  <si>
    <t>AOVPB053 - SWETA DEVI</t>
  </si>
  <si>
    <t>Machine is not working</t>
  </si>
  <si>
    <t>13-10-2023</t>
  </si>
  <si>
    <t>23-09-2023</t>
  </si>
  <si>
    <t xml:space="preserve">RADICAL </t>
  </si>
  <si>
    <t>MEDCAPTAIN MEDICAL TECHNOLGY PVT.LTD.</t>
  </si>
  <si>
    <t>mp-30T</t>
  </si>
  <si>
    <t>01-09-2023</t>
  </si>
  <si>
    <t>04-07-2023</t>
  </si>
  <si>
    <t>GYNAE OT</t>
  </si>
  <si>
    <t>DEFIBRILATOR</t>
  </si>
  <si>
    <t>HP</t>
  </si>
  <si>
    <t>CODEMASTER</t>
  </si>
  <si>
    <t>CARDIO TOCOGRAPHY (CTG) MACHINE</t>
  </si>
  <si>
    <t>AVALON FM 30</t>
  </si>
  <si>
    <t>20-12-2022</t>
  </si>
  <si>
    <t>19-12-2023</t>
  </si>
  <si>
    <t>26-07-2023</t>
  </si>
  <si>
    <t>nws101</t>
  </si>
  <si>
    <t>IW4000</t>
  </si>
  <si>
    <t>14-07-2023</t>
  </si>
  <si>
    <t xml:space="preserve">MCH MAIN OT </t>
  </si>
  <si>
    <t>SURGIHUB</t>
  </si>
  <si>
    <t>MCH WARD</t>
  </si>
  <si>
    <t>ksoc-10</t>
  </si>
  <si>
    <t>Others</t>
  </si>
  <si>
    <t>UPDATED</t>
  </si>
  <si>
    <t>DELIVERY TABLE</t>
  </si>
  <si>
    <t>Na</t>
  </si>
  <si>
    <t>31-08-2023</t>
  </si>
  <si>
    <t>20-12-2023</t>
  </si>
  <si>
    <t>OPERATION TABLE (ELECTRO-HYDRAULIC)</t>
  </si>
  <si>
    <t>SURGIDENT</t>
  </si>
  <si>
    <t>multistar</t>
  </si>
  <si>
    <t>Vio300S</t>
  </si>
  <si>
    <t>19-12-2024</t>
  </si>
  <si>
    <t>27-07-2023</t>
  </si>
  <si>
    <t>VENTILATOR</t>
  </si>
  <si>
    <t>BOYLES APPARATUS</t>
  </si>
  <si>
    <t>ALLIED</t>
  </si>
  <si>
    <t>Jupiter 500</t>
  </si>
  <si>
    <t>covidien plus</t>
  </si>
  <si>
    <t>EYE OT TABLE</t>
  </si>
  <si>
    <t xml:space="preserve">APPASAMY ASSOCIATES </t>
  </si>
  <si>
    <t>AAMST 2000</t>
  </si>
  <si>
    <t>AOVPB057 - YOGESHWAR PAWA</t>
  </si>
  <si>
    <t>17-08-2023</t>
  </si>
  <si>
    <t>working fine</t>
  </si>
  <si>
    <t>JUPITER-500</t>
  </si>
  <si>
    <t>mx-500</t>
  </si>
  <si>
    <t>BS-4031</t>
  </si>
  <si>
    <t>LIGHT</t>
  </si>
  <si>
    <t>OT CEILING LIGHT (DOUBLE DOME)</t>
  </si>
  <si>
    <t>ALFA-5+5</t>
  </si>
  <si>
    <t>COGNATE INDIA</t>
  </si>
  <si>
    <t>VISION(18-12)</t>
  </si>
  <si>
    <t>SHENYANG CANTA MEDICAL</t>
  </si>
  <si>
    <t>V5-WN-NS</t>
  </si>
  <si>
    <t>MEDOXY</t>
  </si>
  <si>
    <t>jay-10</t>
  </si>
  <si>
    <t>29-08-2023</t>
  </si>
  <si>
    <t>ms-oc-10</t>
  </si>
  <si>
    <t>JAY-5</t>
  </si>
  <si>
    <t>25-08-2023</t>
  </si>
  <si>
    <t>22-08-2023</t>
  </si>
  <si>
    <t>26-06-2023</t>
  </si>
  <si>
    <t>24-06-2023</t>
  </si>
  <si>
    <t>JIANGSU YUYUE MEDICAL EQUIPMENT</t>
  </si>
  <si>
    <t>Jmc5A Ni</t>
  </si>
  <si>
    <t>25-06-2023</t>
  </si>
  <si>
    <t>PHYSIO CONTROL</t>
  </si>
  <si>
    <t>lifepak 20e</t>
  </si>
  <si>
    <t>VENTILATOR (PORTABLE)</t>
  </si>
  <si>
    <t>O-TWO MEDICAL TECHNOLOGIES</t>
  </si>
  <si>
    <t>01EVE700</t>
  </si>
  <si>
    <t>RMS vesta 301i</t>
  </si>
  <si>
    <t>EVERFLO</t>
  </si>
  <si>
    <t>MASIMO</t>
  </si>
  <si>
    <t>RAD-G</t>
  </si>
  <si>
    <t>UPHC</t>
  </si>
  <si>
    <t>UPHC ARAIKA MOHALLA/ CIVIL DISPENSARY 2</t>
  </si>
  <si>
    <t>BLOOD CELL COUNTER</t>
  </si>
  <si>
    <t>NIHON KOHDEN</t>
  </si>
  <si>
    <t>mek -1305</t>
  </si>
  <si>
    <t>09-01-2023</t>
  </si>
  <si>
    <t>08-01-2025</t>
  </si>
  <si>
    <t>21-06-2023</t>
  </si>
  <si>
    <t>19-06-2023</t>
  </si>
  <si>
    <t>PHC KABIRPUR</t>
  </si>
  <si>
    <t>DEVILBISS HEALTHCARE</t>
  </si>
  <si>
    <t>525DS</t>
  </si>
  <si>
    <t>16-06-2023</t>
  </si>
  <si>
    <t>24-04-2023</t>
  </si>
  <si>
    <t>PVM-2701</t>
  </si>
  <si>
    <t>13-05-2023</t>
  </si>
  <si>
    <t>not working</t>
  </si>
  <si>
    <t>ICU</t>
  </si>
  <si>
    <t>MULTILUX</t>
  </si>
  <si>
    <t>ULS-412SM</t>
  </si>
  <si>
    <t>16-05-2023</t>
  </si>
  <si>
    <t>SURGICAL DEVICE HUB</t>
  </si>
  <si>
    <t>17-05-2023</t>
  </si>
  <si>
    <t>not  working</t>
  </si>
  <si>
    <t>LAB REFRIGERATOR</t>
  </si>
  <si>
    <t>VOLTAS</t>
  </si>
  <si>
    <t>22-05-2023</t>
  </si>
  <si>
    <t>working</t>
  </si>
  <si>
    <t>STERILIZER (ELECTRIC LOOP)</t>
  </si>
  <si>
    <t xml:space="preserve">S.M SCIENTIFIC </t>
  </si>
  <si>
    <t>sml-4011</t>
  </si>
  <si>
    <t>14-06-2023</t>
  </si>
  <si>
    <t>MEDITRONICS</t>
  </si>
  <si>
    <t>COVIDIEN NELLCOR</t>
  </si>
  <si>
    <t>10-06-2023</t>
  </si>
  <si>
    <t>COVELIDIN NELLCOR</t>
  </si>
  <si>
    <t>MALE MEDICAL WARD</t>
  </si>
  <si>
    <t>CHABAN GROUP</t>
  </si>
  <si>
    <t>OXYTEC-8</t>
  </si>
  <si>
    <t>MATERNITY</t>
  </si>
  <si>
    <t>XNUO</t>
  </si>
  <si>
    <t>S33</t>
  </si>
  <si>
    <t>MALE SURGICAL WARD</t>
  </si>
  <si>
    <t>ISOLATION WARD-MALE</t>
  </si>
  <si>
    <t>compact plus</t>
  </si>
  <si>
    <t>nellcore</t>
  </si>
  <si>
    <t>bs 4031</t>
  </si>
  <si>
    <t>FOGGING MACHINE (FUMIGATION)</t>
  </si>
  <si>
    <t>PHC PARAMJITPUR</t>
  </si>
  <si>
    <t>18-05-2023</t>
  </si>
  <si>
    <t>OT MOBILE LIGHT</t>
  </si>
  <si>
    <t>Optilux 11</t>
  </si>
  <si>
    <t>19-05-2023</t>
  </si>
  <si>
    <t>s33</t>
  </si>
  <si>
    <t>Rad-G</t>
  </si>
  <si>
    <t>21-05-2023</t>
  </si>
  <si>
    <t>Nellcor</t>
  </si>
  <si>
    <t>MP-30T</t>
  </si>
  <si>
    <t>MX500</t>
  </si>
  <si>
    <t>KM-809</t>
  </si>
  <si>
    <t>NBY20</t>
  </si>
  <si>
    <t>8F-5AW</t>
  </si>
  <si>
    <t>NBY-20</t>
  </si>
  <si>
    <t>Mx 500</t>
  </si>
  <si>
    <t>display break</t>
  </si>
  <si>
    <t>IMMUNIZATION DEPTT (PP UNIT)</t>
  </si>
  <si>
    <t>cs-4</t>
  </si>
  <si>
    <t>GULATI INDUSTRIES</t>
  </si>
  <si>
    <t>GE ELPRO INTERNATIONAL LTD</t>
  </si>
  <si>
    <t>VLS300</t>
  </si>
  <si>
    <t>mf 314</t>
  </si>
  <si>
    <t>PHC MAKSOODPUR</t>
  </si>
  <si>
    <t>15-05-2023</t>
  </si>
  <si>
    <t>m 302</t>
  </si>
  <si>
    <t>Y4</t>
  </si>
  <si>
    <t>zy-3A</t>
  </si>
  <si>
    <t>oxytec-8</t>
  </si>
  <si>
    <t>CAIRE</t>
  </si>
  <si>
    <t>COMPANION ECO(5L)</t>
  </si>
  <si>
    <t>rlr400</t>
  </si>
  <si>
    <t>ISOLATION</t>
  </si>
  <si>
    <t>DYNMED</t>
  </si>
  <si>
    <t>DO2- 8AM</t>
  </si>
  <si>
    <t>PHC SURKHPUR</t>
  </si>
  <si>
    <t>09-06-2023</t>
  </si>
  <si>
    <t>26-05-2023</t>
  </si>
  <si>
    <t>IW 4000</t>
  </si>
  <si>
    <t>SURGITECH</t>
  </si>
  <si>
    <t>PHC KHALU</t>
  </si>
  <si>
    <t>08-06-2023</t>
  </si>
  <si>
    <t>31-05-2023</t>
  </si>
  <si>
    <t>TECHNO INDIA</t>
  </si>
  <si>
    <t>oxyflow 10m</t>
  </si>
  <si>
    <t>SWING</t>
  </si>
  <si>
    <t>MICROSCOPE-MONOCULAR</t>
  </si>
  <si>
    <t>FOCUS INDIA OPTICS</t>
  </si>
  <si>
    <t>MPM-2</t>
  </si>
  <si>
    <t>ocw100</t>
  </si>
  <si>
    <t>oxyflow 1</t>
  </si>
  <si>
    <t>nby 20</t>
  </si>
  <si>
    <t>01-06-2023</t>
  </si>
  <si>
    <t>LAB INCUBATOR</t>
  </si>
  <si>
    <t>BACTERIOLOGICAL INCUBATOR</t>
  </si>
  <si>
    <t>07-06-2023</t>
  </si>
  <si>
    <t>PHC SAPRORE</t>
  </si>
  <si>
    <t>GENERAL OPD</t>
  </si>
  <si>
    <t>02-06-2023</t>
  </si>
  <si>
    <t>oxyflow 10M</t>
  </si>
  <si>
    <t>PHC ATHOLI</t>
  </si>
  <si>
    <t>MALE MEDICAL WARD-1</t>
  </si>
  <si>
    <t>PHC RAIPUR KAMOBOA/RANIPUR</t>
  </si>
  <si>
    <t>PHOTOELECTRIC COLORIMETER</t>
  </si>
  <si>
    <t>BEACON DIAGONSTIC PVT LTD</t>
  </si>
  <si>
    <t>octa-1</t>
  </si>
  <si>
    <t>03-06-2023</t>
  </si>
  <si>
    <t>ATS</t>
  </si>
  <si>
    <t>20-05-2023</t>
  </si>
  <si>
    <t>TREADMILL MACHINE</t>
  </si>
  <si>
    <t>VIVA MEDITEK</t>
  </si>
  <si>
    <t>MES-148</t>
  </si>
  <si>
    <t>HAMILTON MEDICAL AG</t>
  </si>
  <si>
    <t>HAMILTON C-1</t>
  </si>
  <si>
    <t>MEDITEC-1700</t>
  </si>
  <si>
    <t>MORTUARY</t>
  </si>
  <si>
    <t>MORTUARY FREEZER</t>
  </si>
  <si>
    <t>JINDAL</t>
  </si>
  <si>
    <t>06-06-2023</t>
  </si>
  <si>
    <t>LAPAROSCOPE</t>
  </si>
  <si>
    <t>KARL STORZ</t>
  </si>
  <si>
    <t>TM2657p</t>
  </si>
  <si>
    <t>13-09-2021</t>
  </si>
  <si>
    <t>calibration required</t>
  </si>
  <si>
    <t>AUDIOMETER</t>
  </si>
  <si>
    <t>HEARING SCREENER-SOHUM</t>
  </si>
  <si>
    <t>SOHUM</t>
  </si>
  <si>
    <t>SHSPRO5</t>
  </si>
  <si>
    <t>EYE OT</t>
  </si>
  <si>
    <t>MICROSCOPE( OPERATING MICROSCOPE-ENT)</t>
  </si>
  <si>
    <t>BHARAT ELECTRONICS</t>
  </si>
  <si>
    <t>SHRIYAN</t>
  </si>
  <si>
    <t>tm-3b</t>
  </si>
  <si>
    <t>DISTIL WATER UNIT</t>
  </si>
  <si>
    <t>SHORYA INTERNATIONAL</t>
  </si>
  <si>
    <t>nIL</t>
  </si>
  <si>
    <t>DIGITAL CERVICAL AND LUMBER TRACTION</t>
  </si>
  <si>
    <t>TEC-5631</t>
  </si>
  <si>
    <t>05-06-2023</t>
  </si>
  <si>
    <t>RESPIRATORY</t>
  </si>
  <si>
    <t>CPAP</t>
  </si>
  <si>
    <t>RESMED</t>
  </si>
  <si>
    <t>aircurve 10</t>
  </si>
  <si>
    <t>29-05-2023</t>
  </si>
  <si>
    <t>Aircurve 10</t>
  </si>
  <si>
    <t>BMC MEDICAL CO. LTD.</t>
  </si>
  <si>
    <t>E-20A-H-O</t>
  </si>
  <si>
    <t>elsy- 360l</t>
  </si>
  <si>
    <t>OT</t>
  </si>
  <si>
    <t>C-ARM MACHINE (ORTHO OT)</t>
  </si>
  <si>
    <t xml:space="preserve">MEDICO </t>
  </si>
  <si>
    <t>surgico-60d-hf</t>
  </si>
  <si>
    <t>BLOOD GAS ANALYZER</t>
  </si>
  <si>
    <t>ABBOTT</t>
  </si>
  <si>
    <t>i-start 1 analyzer</t>
  </si>
  <si>
    <t>SITLAY INDIA</t>
  </si>
  <si>
    <t>UPHC HADIABAD PHAGWARA</t>
  </si>
  <si>
    <t>HORIBA</t>
  </si>
  <si>
    <t>ABX micros ES 60</t>
  </si>
  <si>
    <t xml:space="preserve">RADICAL  </t>
  </si>
  <si>
    <t>Rxl-4b</t>
  </si>
  <si>
    <t>Rxl-5b</t>
  </si>
  <si>
    <t>Rxl-4B</t>
  </si>
  <si>
    <t>PHC PALHI</t>
  </si>
  <si>
    <t>rxl4</t>
  </si>
  <si>
    <t>rxl-4B</t>
  </si>
  <si>
    <t>mek 1305</t>
  </si>
  <si>
    <t>01-05-2023</t>
  </si>
  <si>
    <t>18-04-2023</t>
  </si>
  <si>
    <t>15-03-2023</t>
  </si>
  <si>
    <t>14-03-2023</t>
  </si>
  <si>
    <t>X RAY MACHINE-100mA (RADIOLOGY)</t>
  </si>
  <si>
    <t xml:space="preserve">BPL MEDICAL TECHNOLOGIES PVT LTD </t>
  </si>
  <si>
    <t>bpl mrad 100</t>
  </si>
  <si>
    <t>10-03-2023</t>
  </si>
  <si>
    <t>MMU</t>
  </si>
  <si>
    <t>AUTOMATIC FILM PROCESSOR</t>
  </si>
  <si>
    <t>PROMAX</t>
  </si>
  <si>
    <t>06-03-2023</t>
  </si>
  <si>
    <t>04-03-2023</t>
  </si>
  <si>
    <t>R-8c plus</t>
  </si>
  <si>
    <t>MEDICAID SYSTEM</t>
  </si>
  <si>
    <t>cardiofaxD3R</t>
  </si>
  <si>
    <t>SEMI AUTO ANALYZER</t>
  </si>
  <si>
    <t>TRANSASIA BIOMEDICAL LTD/SYSMEX CORPORATION</t>
  </si>
  <si>
    <t>chem 5x</t>
  </si>
  <si>
    <t>X RAY MACHINE-60mA (RADIOLOGY)</t>
  </si>
  <si>
    <t>diagnox .4003</t>
  </si>
  <si>
    <t>ocw 100</t>
  </si>
  <si>
    <t>01-03-2023</t>
  </si>
  <si>
    <t>28-02-2023</t>
  </si>
  <si>
    <t>MICROSCOPE (OPERATING MICROSCOPE-EYE)</t>
  </si>
  <si>
    <t>HS MOLLER-WEDEL INTERNATIONAL</t>
  </si>
  <si>
    <t>moller corella xy</t>
  </si>
  <si>
    <t>23-02-2023</t>
  </si>
  <si>
    <t>07-01-2023</t>
  </si>
  <si>
    <t>APHERESIS MACHINE</t>
  </si>
  <si>
    <t>FRESENIUS MEDICAL CARE AG &amp; CO. KGAA</t>
  </si>
  <si>
    <t>Com. tec</t>
  </si>
  <si>
    <t>AOVPB005 - PAPPU KUMAR</t>
  </si>
  <si>
    <t>11-01-2023</t>
  </si>
  <si>
    <t>working condition</t>
  </si>
  <si>
    <t>PLATELET INCUBATOR &amp; AGITATOR</t>
  </si>
  <si>
    <t>PI10-Ultra</t>
  </si>
  <si>
    <t>CRYOPRECIPITATE BATH</t>
  </si>
  <si>
    <t>CB704</t>
  </si>
  <si>
    <t>ELISA MICROTITER PLATE READER</t>
  </si>
  <si>
    <t>MERIL DIAGNOSTICS PVT. LTD</t>
  </si>
  <si>
    <t>MERILYZER</t>
  </si>
  <si>
    <t>WATER BATH</t>
  </si>
  <si>
    <t>VIKRANT SCIENTIFIC WORKS PVT. LTD.</t>
  </si>
  <si>
    <t>THAWING BATH</t>
  </si>
  <si>
    <t>CB705</t>
  </si>
  <si>
    <t>TERUMO PENPOL</t>
  </si>
  <si>
    <t>DC200</t>
  </si>
  <si>
    <t>mp-30</t>
  </si>
  <si>
    <t>12-01-2023</t>
  </si>
  <si>
    <t>GENERAL SURGERY OT</t>
  </si>
  <si>
    <t>RICHARD WOLF</t>
  </si>
  <si>
    <t>14-01-2023</t>
  </si>
  <si>
    <t>BLOOD BANK REFRIGERATOR</t>
  </si>
  <si>
    <t>EMERGENCY RECOVERY</t>
  </si>
  <si>
    <t>EMG TECHNOLOGY</t>
  </si>
  <si>
    <t>CTB01-A01</t>
  </si>
  <si>
    <t>MAX 500</t>
  </si>
  <si>
    <t>OCT MACHINE</t>
  </si>
  <si>
    <t>CARL ZEISS MEDITEC AG</t>
  </si>
  <si>
    <t>16-01-2023</t>
  </si>
  <si>
    <t>SLIT LAMP</t>
  </si>
  <si>
    <t>SHIN NIPPON</t>
  </si>
  <si>
    <t>sl-203</t>
  </si>
  <si>
    <t xml:space="preserve">COMPUTERIZED ICL TRACTION </t>
  </si>
  <si>
    <t>MULTIPLE EXERCISE CHAIR</t>
  </si>
  <si>
    <t>SHOULDER WHEEL</t>
  </si>
  <si>
    <t>GYNAECOLOGY</t>
  </si>
  <si>
    <t>fm 30</t>
  </si>
  <si>
    <t>18-01-2023</t>
  </si>
  <si>
    <t>ULTRASOUND THERAPY UNIT</t>
  </si>
  <si>
    <t>PHYSIO MEDICYS</t>
  </si>
  <si>
    <t>Iemp 3029</t>
  </si>
  <si>
    <t>19-01-2023</t>
  </si>
  <si>
    <t>HI TECH</t>
  </si>
  <si>
    <t>ro 250lph</t>
  </si>
  <si>
    <t>15-01-2023</t>
  </si>
  <si>
    <t>EYE REFRACTION UNIT</t>
  </si>
  <si>
    <t>aaru 2000</t>
  </si>
  <si>
    <t>ND YAG LASER</t>
  </si>
  <si>
    <t>NIDEK CO LTD</t>
  </si>
  <si>
    <t>yc-1800</t>
  </si>
  <si>
    <t>nws 102</t>
  </si>
  <si>
    <t>Hf-49</t>
  </si>
  <si>
    <t>MICROFLOW</t>
  </si>
  <si>
    <t>ESCO</t>
  </si>
  <si>
    <t>Sentinel gold</t>
  </si>
  <si>
    <t>working Condition</t>
  </si>
  <si>
    <t>BOD(COOLING) INCUBATOR</t>
  </si>
  <si>
    <t>SK109</t>
  </si>
  <si>
    <t>CI6</t>
  </si>
  <si>
    <t>CENTRON</t>
  </si>
  <si>
    <t>Accumix</t>
  </si>
  <si>
    <t>BCM 10 Ultra</t>
  </si>
  <si>
    <t>HMS MEDICAL SYSTEM</t>
  </si>
  <si>
    <t>INDOTHERM</t>
  </si>
  <si>
    <t>20e</t>
  </si>
  <si>
    <t>FUNDUS CAMERA</t>
  </si>
  <si>
    <t>FORUS HEALTH</t>
  </si>
  <si>
    <t>3 NETRA CLASSIC</t>
  </si>
  <si>
    <t>902SS</t>
  </si>
  <si>
    <t>not in working Condition</t>
  </si>
  <si>
    <t>RPF- 336</t>
  </si>
  <si>
    <t>HBC200</t>
  </si>
  <si>
    <t>ELECTROLUX</t>
  </si>
  <si>
    <t>ML150</t>
  </si>
  <si>
    <t>not in working condition</t>
  </si>
  <si>
    <t>RLR-400</t>
  </si>
  <si>
    <t>HOT AIR OVEN</t>
  </si>
  <si>
    <t>S.M SCIENTIFIC</t>
  </si>
  <si>
    <t>sml 118</t>
  </si>
  <si>
    <t>Abx micros Es60</t>
  </si>
  <si>
    <t>cfl 101</t>
  </si>
  <si>
    <t>X RAY MACHINE-300mA (RADIOLOGY)</t>
  </si>
  <si>
    <t xml:space="preserve">325 FC HT </t>
  </si>
  <si>
    <t>22-02-2023</t>
  </si>
  <si>
    <t>27-01-2023</t>
  </si>
  <si>
    <t>EPSILON</t>
  </si>
  <si>
    <t>Ep corsa 15/32/40/50/65/80Rf</t>
  </si>
  <si>
    <t>DENTAL X-RAY MACHINE</t>
  </si>
  <si>
    <t>medico -10d</t>
  </si>
  <si>
    <t>03-02-2023</t>
  </si>
  <si>
    <t>LISA WASH</t>
  </si>
  <si>
    <t>ERBA LISA WASH</t>
  </si>
  <si>
    <t>A SCAN BIO-METER</t>
  </si>
  <si>
    <t>BIOMEDIX</t>
  </si>
  <si>
    <t>ECHORULE 2</t>
  </si>
  <si>
    <t>13-01-2023</t>
  </si>
  <si>
    <t>echorule2</t>
  </si>
  <si>
    <t>09-02-2023</t>
  </si>
  <si>
    <t>AUTO REFRACTORMETER WITH KERATOMETER</t>
  </si>
  <si>
    <t>UNICOS CO. LTD</t>
  </si>
  <si>
    <t>URK -700</t>
  </si>
  <si>
    <t>HUVITZ CO. LTD.</t>
  </si>
  <si>
    <t>HRK-8000A</t>
  </si>
  <si>
    <t>LENSOMETER</t>
  </si>
  <si>
    <t>SHIGIYA MACHINERY WORKS LTD.</t>
  </si>
  <si>
    <t>gl 7700</t>
  </si>
  <si>
    <t>Gl-7700</t>
  </si>
  <si>
    <t>GALAXY INDIA</t>
  </si>
  <si>
    <t>ASIRA-SL ADVANCE</t>
  </si>
  <si>
    <t>AAOT</t>
  </si>
  <si>
    <t>CALYX HEALTHCARE INDIA</t>
  </si>
  <si>
    <t xml:space="preserve">UNITED SURGICAL INDUSTRIES </t>
  </si>
  <si>
    <t>04-02-2023</t>
  </si>
  <si>
    <t>HOSPITECH</t>
  </si>
  <si>
    <t>MAJOR</t>
  </si>
  <si>
    <t>JUPITOR- 200</t>
  </si>
  <si>
    <t>Elsy -360lt</t>
  </si>
  <si>
    <t>ERBE</t>
  </si>
  <si>
    <t>VIO 300S</t>
  </si>
  <si>
    <t>SE260</t>
  </si>
  <si>
    <t>STERILE CONNECTING DEVICE</t>
  </si>
  <si>
    <t>TSCD-II</t>
  </si>
  <si>
    <t>Bs-4031</t>
  </si>
  <si>
    <t>OPMI LUMERA-300</t>
  </si>
  <si>
    <t>RXL-4B</t>
  </si>
  <si>
    <t>TOPCON CORPORATION</t>
  </si>
  <si>
    <t>oms 90</t>
  </si>
  <si>
    <t xml:space="preserve">DENTAL CHAIR UNIT </t>
  </si>
  <si>
    <t>CONFIDENT</t>
  </si>
  <si>
    <t>Meenakashi</t>
  </si>
  <si>
    <t>sk 120</t>
  </si>
  <si>
    <t>STURDY</t>
  </si>
  <si>
    <t>Sa260Fa</t>
  </si>
  <si>
    <t>8f-5aw</t>
  </si>
  <si>
    <t>JAY-10</t>
  </si>
  <si>
    <t>JOVE AUTOMATIONS</t>
  </si>
  <si>
    <t>30-01-2023</t>
  </si>
  <si>
    <t>GENRUI BIOTECH INC.</t>
  </si>
  <si>
    <t>genrui kt - 6610</t>
  </si>
  <si>
    <t>c852</t>
  </si>
  <si>
    <t>R -8c</t>
  </si>
  <si>
    <t>USI-E7</t>
  </si>
  <si>
    <t>CLARITY MEDICAL PVT LTD</t>
  </si>
  <si>
    <t>cmpo-01</t>
  </si>
  <si>
    <t>ZOHRA SURGICAL ENTERPRISES</t>
  </si>
  <si>
    <t>MAX-LIFE</t>
  </si>
  <si>
    <t>14-02-2023</t>
  </si>
  <si>
    <t>KEELER</t>
  </si>
  <si>
    <t>Sl 130</t>
  </si>
  <si>
    <t>AOVPB029 - RENU DHEER</t>
  </si>
  <si>
    <t>Electroson- 608</t>
  </si>
  <si>
    <t>13-12-2022</t>
  </si>
  <si>
    <t>19-09-2022</t>
  </si>
  <si>
    <t>4 channel</t>
  </si>
  <si>
    <t>VECTRODYNE 100</t>
  </si>
  <si>
    <t>erbotherm1100P</t>
  </si>
  <si>
    <t>12-12-2022</t>
  </si>
  <si>
    <t>22-10-2022</t>
  </si>
  <si>
    <t>EMERGENCY OPD</t>
  </si>
  <si>
    <t>FEMALE WARD</t>
  </si>
  <si>
    <t>oxyflow10m</t>
  </si>
  <si>
    <t>8f-5a</t>
  </si>
  <si>
    <t>ksoc10</t>
  </si>
  <si>
    <t>FEMALE MATERNITY WARD</t>
  </si>
  <si>
    <t>7f-10</t>
  </si>
  <si>
    <t>CHILDREN OPD</t>
  </si>
  <si>
    <t>VESTA 301-I</t>
  </si>
  <si>
    <t xml:space="preserve">vesta 301i	</t>
  </si>
  <si>
    <t>pisces-A-103</t>
  </si>
  <si>
    <t>Autotrac-100</t>
  </si>
  <si>
    <t>ESTEEM</t>
  </si>
  <si>
    <t>29-09-2022</t>
  </si>
  <si>
    <t>not in working</t>
  </si>
  <si>
    <t>STERILIZATION ROOM</t>
  </si>
  <si>
    <t>SURGICOIN</t>
  </si>
  <si>
    <t>17-11-2022</t>
  </si>
  <si>
    <t>chem5x</t>
  </si>
  <si>
    <t>18-11-2022</t>
  </si>
  <si>
    <t>GRID POWER</t>
  </si>
  <si>
    <t>24-11-2022</t>
  </si>
  <si>
    <t>merilzer cliniquant micro</t>
  </si>
  <si>
    <t>09-12-2022</t>
  </si>
  <si>
    <t>PHACO EMULSIFICATION MACHINE</t>
  </si>
  <si>
    <t>OERTLI INSTRUMENTS</t>
  </si>
  <si>
    <t>CATARHEX-3</t>
  </si>
  <si>
    <t>21-11-2022</t>
  </si>
  <si>
    <t>CRYOFUGE 6000I</t>
  </si>
  <si>
    <t>20-10-2022</t>
  </si>
  <si>
    <t>AOVPB017 - Vikas Tomer</t>
  </si>
  <si>
    <t>JEWETT</t>
  </si>
  <si>
    <t>15-10-2022</t>
  </si>
  <si>
    <t>AOVPB032 - Sumit Kumar Chaudhary</t>
  </si>
  <si>
    <t>04-10-2022</t>
  </si>
  <si>
    <t>NEW BRUNSWICK SCIENTIFIC</t>
  </si>
  <si>
    <t>U410- 86</t>
  </si>
  <si>
    <t>chart recorder missing</t>
  </si>
  <si>
    <t>LABOMED INC.</t>
  </si>
  <si>
    <t>Vision2000</t>
  </si>
  <si>
    <t>07-09-2022</t>
  </si>
  <si>
    <t>31-08-2022</t>
  </si>
  <si>
    <t>AI-5741</t>
  </si>
  <si>
    <t>TRUENET REAL TIME PCR ANALYZER DUO</t>
  </si>
  <si>
    <t>MOLBIO DIAGNOSTICS PVT. LTD</t>
  </si>
  <si>
    <t>True lab duo</t>
  </si>
  <si>
    <t>vision2000</t>
  </si>
  <si>
    <t>TruelabDuo</t>
  </si>
  <si>
    <t>X-RAY ROOM</t>
  </si>
  <si>
    <t>COMPUTERIZED RADIOGRAPHY SYSTEM (CR SYSTEM)</t>
  </si>
  <si>
    <t>AGFA HEALTHCARE</t>
  </si>
  <si>
    <t>DX-M</t>
  </si>
  <si>
    <t>08-12-2013</t>
  </si>
  <si>
    <t>08-08-2022</t>
  </si>
  <si>
    <t>08-06-2022</t>
  </si>
  <si>
    <t>Good working condition</t>
  </si>
  <si>
    <t>X RAY MACHINE-500mA (RADIOLOGY)</t>
  </si>
  <si>
    <t>27-04-2021</t>
  </si>
  <si>
    <t>100 FC/HT</t>
  </si>
  <si>
    <t>02-04-2002</t>
  </si>
  <si>
    <t>Not working</t>
  </si>
  <si>
    <t>SIEMENS</t>
  </si>
  <si>
    <t>MULTIMOBIL 2.5</t>
  </si>
  <si>
    <t>02-02-2001</t>
  </si>
  <si>
    <t>FULLY AUTO ANALYZER</t>
  </si>
  <si>
    <t>EM 360</t>
  </si>
  <si>
    <t>09-06-2017</t>
  </si>
  <si>
    <t>09-06-2022</t>
  </si>
  <si>
    <t>Working condition</t>
  </si>
  <si>
    <t>09-11-2019</t>
  </si>
  <si>
    <t>mx500</t>
  </si>
  <si>
    <t>10-03-2022</t>
  </si>
  <si>
    <t>09-03-2022</t>
  </si>
  <si>
    <t>10-11-2019</t>
  </si>
  <si>
    <t>OT(GYN &amp; OBS)</t>
  </si>
  <si>
    <t>07-11-2019</t>
  </si>
  <si>
    <t>cardiolife Tec5631</t>
  </si>
  <si>
    <t>ELSY 360 L +</t>
  </si>
  <si>
    <t>09-04-2014</t>
  </si>
  <si>
    <t>09-04-2018</t>
  </si>
  <si>
    <t>09-03-2010</t>
  </si>
  <si>
    <t>CELL COUNT EDGE</t>
  </si>
  <si>
    <t>09-12-2020</t>
  </si>
  <si>
    <t>SR 20a</t>
  </si>
  <si>
    <t>Compact plus</t>
  </si>
  <si>
    <t>Hamilton C1</t>
  </si>
  <si>
    <t>Vesta 301i</t>
  </si>
  <si>
    <t>FEMALE SURGICAL WARD</t>
  </si>
  <si>
    <t>PAGE WRITER TC20 CARDIOGRAPH</t>
  </si>
  <si>
    <t>XL 640</t>
  </si>
  <si>
    <t>10-05-2017</t>
  </si>
  <si>
    <t>10-06-2022</t>
  </si>
  <si>
    <t>ELECTROLYTE ANALYZER</t>
  </si>
  <si>
    <t>SENSA CORE</t>
  </si>
  <si>
    <t>ST-200 PRO</t>
  </si>
  <si>
    <t>17-11-2020</t>
  </si>
  <si>
    <t>POPULAR INDIA</t>
  </si>
  <si>
    <t>17-11-2019</t>
  </si>
  <si>
    <t>LABOTECH</t>
  </si>
  <si>
    <t>BDI145</t>
  </si>
  <si>
    <t>14-02-2020</t>
  </si>
  <si>
    <t>11-06-2022</t>
  </si>
  <si>
    <t>25-11-2010</t>
  </si>
  <si>
    <t>25-07-2014</t>
  </si>
  <si>
    <t>25-07-2017</t>
  </si>
  <si>
    <t>working condotion</t>
  </si>
  <si>
    <t>M302</t>
  </si>
  <si>
    <t>25-11-2019</t>
  </si>
  <si>
    <t>25-08-2019</t>
  </si>
  <si>
    <t>11-11-2019</t>
  </si>
  <si>
    <t>PISCES -A-103</t>
  </si>
  <si>
    <t>10-03-2020</t>
  </si>
  <si>
    <t>vesta 301i</t>
  </si>
  <si>
    <t>10-08-2019</t>
  </si>
  <si>
    <t>working conditon</t>
  </si>
  <si>
    <t xml:space="preserve">BESTODENT  INDIA PVT LTD </t>
  </si>
  <si>
    <t>Mookambika</t>
  </si>
  <si>
    <t>11-06-2016</t>
  </si>
  <si>
    <t>RUNYES</t>
  </si>
  <si>
    <t>10-03-2014</t>
  </si>
  <si>
    <t>mookambika</t>
  </si>
  <si>
    <t>25-06-2019</t>
  </si>
  <si>
    <t>ray 68</t>
  </si>
  <si>
    <t>05-03-2022</t>
  </si>
  <si>
    <t>11-06-2019</t>
  </si>
  <si>
    <t>TECHNOCARE</t>
  </si>
  <si>
    <t>TM 90920</t>
  </si>
  <si>
    <t>oxyplus 240 ST</t>
  </si>
  <si>
    <t>11-06-2017</t>
  </si>
  <si>
    <t>HAMILTON -C1</t>
  </si>
  <si>
    <t>03-08-2022</t>
  </si>
  <si>
    <t>AOVPB006 - HARPREET SINGH</t>
  </si>
  <si>
    <t>21-06-2022</t>
  </si>
  <si>
    <t>hamiliton -c1</t>
  </si>
  <si>
    <t xml:space="preserve">ANAESI MAJOR </t>
  </si>
  <si>
    <t>NWS-101</t>
  </si>
  <si>
    <t>VISMO</t>
  </si>
  <si>
    <t>XL-777</t>
  </si>
  <si>
    <t>surgiflator 16</t>
  </si>
  <si>
    <t>DIGITAL 400</t>
  </si>
  <si>
    <t>ELSY -360L+</t>
  </si>
  <si>
    <t>LIFEPAK-20e</t>
  </si>
  <si>
    <t xml:space="preserve">HF-46	</t>
  </si>
  <si>
    <t xml:space="preserve">SURGIDENT </t>
  </si>
  <si>
    <t>MULTISTAR-1</t>
  </si>
  <si>
    <t>ELSY 360L+</t>
  </si>
  <si>
    <t>Vesta-301i</t>
  </si>
  <si>
    <t>UNISSI</t>
  </si>
  <si>
    <t>eq -4</t>
  </si>
  <si>
    <t>CM780</t>
  </si>
  <si>
    <t>HXC608 Haier</t>
  </si>
  <si>
    <t>MINDRAY</t>
  </si>
  <si>
    <t>MW-12A</t>
  </si>
  <si>
    <t>NEYA4</t>
  </si>
  <si>
    <t>BR 120SS</t>
  </si>
  <si>
    <t>n/a</t>
  </si>
  <si>
    <t>600G</t>
  </si>
  <si>
    <t>88er-2a</t>
  </si>
  <si>
    <t>micro airflow</t>
  </si>
  <si>
    <t>DF40U</t>
  </si>
  <si>
    <t>kbm-70plus</t>
  </si>
  <si>
    <t>PDV 360 ULTRA</t>
  </si>
  <si>
    <t>TSCD 2</t>
  </si>
  <si>
    <t>INSIGNIA INTERNATIONAL</t>
  </si>
  <si>
    <t>pra-22</t>
  </si>
  <si>
    <t>vs-03</t>
  </si>
  <si>
    <t>m-302</t>
  </si>
  <si>
    <t>20 e</t>
  </si>
  <si>
    <t>FUJIFILM</t>
  </si>
  <si>
    <t>Capsula xl2/DP Smart</t>
  </si>
  <si>
    <t>30-07-2022</t>
  </si>
  <si>
    <t>24-06-2022</t>
  </si>
  <si>
    <t>MARS-40</t>
  </si>
  <si>
    <t>Stallion 60</t>
  </si>
  <si>
    <t>ELTOP</t>
  </si>
  <si>
    <t>ZHAOQING GAOYAO RECENDE MEDICAL EQUIPMENT CO. LTD</t>
  </si>
  <si>
    <t>BL-501</t>
  </si>
  <si>
    <t>Celltac alpha plus</t>
  </si>
  <si>
    <t>26-05-2022</t>
  </si>
  <si>
    <t>25-05-2024</t>
  </si>
  <si>
    <t>Chem5X</t>
  </si>
  <si>
    <t>Neya4</t>
  </si>
  <si>
    <t>SL-115</t>
  </si>
  <si>
    <t>OxyFlow 10M</t>
  </si>
  <si>
    <t>MK142</t>
  </si>
  <si>
    <t>HBD 116</t>
  </si>
  <si>
    <t>R134a</t>
  </si>
  <si>
    <t>SUPER Q</t>
  </si>
  <si>
    <t>29-07-2022</t>
  </si>
  <si>
    <t>JMCA5A</t>
  </si>
  <si>
    <t>BLUE STAR</t>
  </si>
  <si>
    <t>NIL</t>
  </si>
  <si>
    <t>not in working conditon</t>
  </si>
  <si>
    <t>PULMONATIC SYSTEM</t>
  </si>
  <si>
    <t>LTV1000</t>
  </si>
  <si>
    <t>27-06-2022</t>
  </si>
  <si>
    <t>Neya-4</t>
  </si>
  <si>
    <t>28-07-2022</t>
  </si>
  <si>
    <t>Denmark</t>
  </si>
  <si>
    <t>Drink</t>
  </si>
  <si>
    <t>SEALING MACHINE(DENTAL)</t>
  </si>
  <si>
    <t>HRK8000A</t>
  </si>
  <si>
    <t>Stm</t>
  </si>
  <si>
    <t>AARU2000</t>
  </si>
  <si>
    <t>40H</t>
  </si>
  <si>
    <t>KERATOMETER (Manual)</t>
  </si>
  <si>
    <t>27-07-2022</t>
  </si>
  <si>
    <t xml:space="preserve">CAPSULA XLII &amp; DRYPIX SMART </t>
  </si>
  <si>
    <t>MARS 40</t>
  </si>
  <si>
    <t>ALLENGERS 325</t>
  </si>
  <si>
    <t>22-04-2021</t>
  </si>
  <si>
    <t>21-04-2023</t>
  </si>
  <si>
    <t>neya-4</t>
  </si>
  <si>
    <t>XP 100</t>
  </si>
  <si>
    <t>ABX Micros ES60</t>
  </si>
  <si>
    <t>MEMMERT</t>
  </si>
  <si>
    <t>EM-360</t>
  </si>
  <si>
    <t>RM-12C</t>
  </si>
  <si>
    <t>MR-96A</t>
  </si>
  <si>
    <t>NOVA BIOMEDICAL</t>
  </si>
  <si>
    <t>pHOX</t>
  </si>
  <si>
    <t>26-07-2022</t>
  </si>
  <si>
    <t>HETTICH</t>
  </si>
  <si>
    <t>ABX MICROS ES 60</t>
  </si>
  <si>
    <t>15-11-2022</t>
  </si>
  <si>
    <t>14-11-2024</t>
  </si>
  <si>
    <t>23-07-2022</t>
  </si>
  <si>
    <t>22-07-2022</t>
  </si>
  <si>
    <t>AOVPB021 - BALJINDER</t>
  </si>
  <si>
    <t>01-07-2022</t>
  </si>
  <si>
    <t>neya 4</t>
  </si>
  <si>
    <t>Nil</t>
  </si>
  <si>
    <t>mfd_v_1200</t>
  </si>
  <si>
    <t>mk 144</t>
  </si>
  <si>
    <t>Capsula xl2 / Dp smart</t>
  </si>
  <si>
    <t>MARSH-40</t>
  </si>
  <si>
    <t xml:space="preserve">CONFIDENT </t>
  </si>
  <si>
    <t>x ray 68(m)</t>
  </si>
  <si>
    <t>21-07-2022</t>
  </si>
  <si>
    <t>m rad100</t>
  </si>
  <si>
    <t>AXIS</t>
  </si>
  <si>
    <t>tsrk_1000</t>
  </si>
  <si>
    <t>DEVINE MEDIHEALTH PVT. LTD.</t>
  </si>
  <si>
    <t>DEVINE SCAN A</t>
  </si>
  <si>
    <t>gl_7700</t>
  </si>
  <si>
    <t>kosc 10</t>
  </si>
  <si>
    <t>elsy_360 l</t>
  </si>
  <si>
    <t>s_298</t>
  </si>
  <si>
    <t>MAX LIFE</t>
  </si>
  <si>
    <t>ABX Micros ES 60</t>
  </si>
  <si>
    <t>BLOOD MIXTURE</t>
  </si>
  <si>
    <t>mf144</t>
  </si>
  <si>
    <t>vls 300</t>
  </si>
  <si>
    <t>ILR SMALL GVR 99L LITE</t>
  </si>
  <si>
    <t>OT (EYE)</t>
  </si>
  <si>
    <t>CATARHEX 3</t>
  </si>
  <si>
    <t>C-ARM HF46</t>
  </si>
  <si>
    <t>pvma_2701</t>
  </si>
  <si>
    <t>H360</t>
  </si>
  <si>
    <t>02-07-2022</t>
  </si>
  <si>
    <t>SR-20 A</t>
  </si>
  <si>
    <t>BR-180</t>
  </si>
  <si>
    <t>SWASTHIKA ELECTRONICS</t>
  </si>
  <si>
    <t>Capsula xL2/Dp smart</t>
  </si>
  <si>
    <t>SS151</t>
  </si>
  <si>
    <t>USI2005</t>
  </si>
  <si>
    <t>elsy-360L</t>
  </si>
  <si>
    <t>EASY FOG</t>
  </si>
  <si>
    <t>RAY-68(M)</t>
  </si>
  <si>
    <t>MINOR OT</t>
  </si>
  <si>
    <t>VC821100</t>
  </si>
  <si>
    <t>20-07-2022</t>
  </si>
  <si>
    <t>05-07-2022</t>
  </si>
  <si>
    <t>ss-151</t>
  </si>
  <si>
    <t>AOVPB002 - JATINDER SINGH</t>
  </si>
  <si>
    <t xml:space="preserve">LOGIC HD CORE LED </t>
  </si>
  <si>
    <t>320lsd voltas</t>
  </si>
  <si>
    <t>YORCO SCIENTIFIC</t>
  </si>
  <si>
    <t>CHEM-5</t>
  </si>
  <si>
    <t>100 FC</t>
  </si>
  <si>
    <t>cr-ir359</t>
  </si>
  <si>
    <t>Lisascan</t>
  </si>
  <si>
    <t>PH METER</t>
  </si>
  <si>
    <t>MICROTOME</t>
  </si>
  <si>
    <t>Mokambika</t>
  </si>
  <si>
    <t>ray head</t>
  </si>
  <si>
    <t>MFD-V-1200</t>
  </si>
  <si>
    <t>not in  working condition</t>
  </si>
  <si>
    <t>19-07-2022</t>
  </si>
  <si>
    <t>hbc-70</t>
  </si>
  <si>
    <t>mk-304</t>
  </si>
  <si>
    <t>hbd 116</t>
  </si>
  <si>
    <t>MF-144</t>
  </si>
  <si>
    <t>Elsy-360L</t>
  </si>
  <si>
    <t>SMI-157</t>
  </si>
  <si>
    <t>06-07-2022</t>
  </si>
  <si>
    <t>chem5x-plus</t>
  </si>
  <si>
    <t>08-00</t>
  </si>
  <si>
    <t>RAY(68)M</t>
  </si>
  <si>
    <t>VISION</t>
  </si>
  <si>
    <t>VISION-125</t>
  </si>
  <si>
    <t>Meenakshi</t>
  </si>
  <si>
    <t>visionaire</t>
  </si>
  <si>
    <t>MI Fogger</t>
  </si>
  <si>
    <t>hbc200</t>
  </si>
  <si>
    <t>hbd286</t>
  </si>
  <si>
    <t>ilr small gvr 99l lite</t>
  </si>
  <si>
    <t>01-02-2021</t>
  </si>
  <si>
    <t>31-01-2022</t>
  </si>
  <si>
    <t>SIMTEK MEDICO SYSTEM</t>
  </si>
  <si>
    <t>Infutek 405</t>
  </si>
  <si>
    <t>neya4</t>
  </si>
  <si>
    <t>18-07-2022</t>
  </si>
  <si>
    <t>07-07-2022</t>
  </si>
  <si>
    <t>320lsd</t>
  </si>
  <si>
    <t>chem5x plus</t>
  </si>
  <si>
    <t xml:space="preserve">AOVPB007 - GURPREET SINGH </t>
  </si>
  <si>
    <t>MEK-1305</t>
  </si>
  <si>
    <t>chem 5x plus</t>
  </si>
  <si>
    <t>GENERAL MEDICAL EQUIPMENT</t>
  </si>
  <si>
    <t>dentex -70f</t>
  </si>
  <si>
    <t>UPDATED BARCODE</t>
  </si>
  <si>
    <t>cr-ir 359</t>
  </si>
  <si>
    <t>DIAMOND</t>
  </si>
  <si>
    <t>ALPHA NEB</t>
  </si>
  <si>
    <t>c-20h</t>
  </si>
  <si>
    <t>N/A</t>
  </si>
  <si>
    <t>gvr 99 lite</t>
  </si>
  <si>
    <t>10 L</t>
  </si>
  <si>
    <t>mk 304</t>
  </si>
  <si>
    <t>hbd-116</t>
  </si>
  <si>
    <t>oxyflow 10 m</t>
  </si>
  <si>
    <t xml:space="preserve">working condition </t>
  </si>
  <si>
    <t>TRUE LAB DUO</t>
  </si>
  <si>
    <t>22-04-2022</t>
  </si>
  <si>
    <t>09-07-2022</t>
  </si>
  <si>
    <t>08-07-2022</t>
  </si>
  <si>
    <t>oxyflow-10m</t>
  </si>
  <si>
    <t>17-07-2022</t>
  </si>
  <si>
    <t>celltac a</t>
  </si>
  <si>
    <t>06-05-2022</t>
  </si>
  <si>
    <t>AJAY OPTIK</t>
  </si>
  <si>
    <t>aj_12</t>
  </si>
  <si>
    <t>TONOMETER</t>
  </si>
  <si>
    <t>RIESTER</t>
  </si>
  <si>
    <t>CELLTAC ALPHA PLUS</t>
  </si>
  <si>
    <t>t-10</t>
  </si>
  <si>
    <t>ray-head</t>
  </si>
  <si>
    <t>NEWLIFE</t>
  </si>
  <si>
    <t>X RAY TIMER C51</t>
  </si>
  <si>
    <t>OPTHALMOSCOPE-DIRECT</t>
  </si>
  <si>
    <t>mini2000</t>
  </si>
  <si>
    <t>ri-scope</t>
  </si>
  <si>
    <t>DEDAKJ</t>
  </si>
  <si>
    <t>DE-2A(2L)</t>
  </si>
  <si>
    <t>CBNAAT</t>
  </si>
  <si>
    <t>CEPHEID</t>
  </si>
  <si>
    <t>UNDER CMC</t>
  </si>
  <si>
    <t>11-07-2022</t>
  </si>
  <si>
    <t>16-07-2022</t>
  </si>
  <si>
    <t xml:space="preserve">vision2000	</t>
  </si>
  <si>
    <t>QIC HR 22</t>
  </si>
  <si>
    <t>GYNAE OPD</t>
  </si>
  <si>
    <t>CMPO-01</t>
  </si>
  <si>
    <t>CLEAR VUE 350</t>
  </si>
  <si>
    <t>02-11-2019</t>
  </si>
  <si>
    <t>ULTRASOUND MACHINE</t>
  </si>
  <si>
    <t>WIPRO GE MEDICAL SYSTEMS LTD</t>
  </si>
  <si>
    <t>LOGIC APHA 200</t>
  </si>
  <si>
    <t>02-11-2001</t>
  </si>
  <si>
    <t>not working condition</t>
  </si>
  <si>
    <t>cardiart 108 T</t>
  </si>
  <si>
    <t>15-07-2022</t>
  </si>
  <si>
    <t>12-07-2022</t>
  </si>
  <si>
    <t>pisces 103</t>
  </si>
  <si>
    <t>07-03-2017</t>
  </si>
  <si>
    <t>14-07-2022</t>
  </si>
  <si>
    <t>CS-4</t>
  </si>
  <si>
    <t>OT CEILING LIGHT (SINGLE DOME)</t>
  </si>
  <si>
    <t>OPTILUX 11</t>
  </si>
  <si>
    <t>GYNE WARD</t>
  </si>
  <si>
    <t>coolex dms 20</t>
  </si>
  <si>
    <t>vision 18 12</t>
  </si>
  <si>
    <t>FENWAL</t>
  </si>
  <si>
    <t>nws-101</t>
  </si>
  <si>
    <t>17l</t>
  </si>
  <si>
    <t>nws 101</t>
  </si>
  <si>
    <t>MEDIGUARD</t>
  </si>
  <si>
    <t>MEDIVAC</t>
  </si>
  <si>
    <t>ALMICRO</t>
  </si>
  <si>
    <t>bm-6bi</t>
  </si>
  <si>
    <t>Lx400</t>
  </si>
  <si>
    <t>VISION 2000</t>
  </si>
  <si>
    <t>This machine is shifted from SHD Phagwara to CHC Panchhat</t>
  </si>
  <si>
    <t>QUASMO</t>
  </si>
  <si>
    <t>SP-22</t>
  </si>
  <si>
    <t>Vision 2000</t>
  </si>
  <si>
    <t>OXYFLOW 10M</t>
  </si>
  <si>
    <t>GUARDIAN OPLINE INC</t>
  </si>
  <si>
    <t>ophtamic 900</t>
  </si>
  <si>
    <t>FS2012</t>
  </si>
  <si>
    <t>TAKAGI SEIKO CO. LTD.</t>
  </si>
  <si>
    <t>OM - 10</t>
  </si>
  <si>
    <t>HAEMODIALYSIS MACHINE</t>
  </si>
  <si>
    <t>NIPRO</t>
  </si>
  <si>
    <t>DIAMAX</t>
  </si>
  <si>
    <t>DIAMAx</t>
  </si>
  <si>
    <t>PHOTOTHERAPY UNIT (DOUBLE SURFACE)</t>
  </si>
  <si>
    <t>cfl-101</t>
  </si>
  <si>
    <t>mx 500</t>
  </si>
  <si>
    <t>new autoclave house</t>
  </si>
  <si>
    <t>BAROCDE UPDATED</t>
  </si>
  <si>
    <t>NWS101</t>
  </si>
  <si>
    <t>S.S TECHNOMED PVT LTD.</t>
  </si>
  <si>
    <t>NICU</t>
  </si>
  <si>
    <t>OCW100</t>
  </si>
  <si>
    <t>BIRD MEDITECH</t>
  </si>
  <si>
    <t>NSW101</t>
  </si>
  <si>
    <t>CFL101</t>
  </si>
  <si>
    <t>brilliance pro</t>
  </si>
  <si>
    <t>ANAND SURGICAL</t>
  </si>
  <si>
    <t>SurgiVac</t>
  </si>
  <si>
    <t>surgihub</t>
  </si>
  <si>
    <t>Surgihub</t>
  </si>
  <si>
    <t xml:space="preserve">REICO </t>
  </si>
  <si>
    <t>ELECTRICAL STERILIZER</t>
  </si>
  <si>
    <t>Max life</t>
  </si>
  <si>
    <t>BDI-145</t>
  </si>
  <si>
    <t>09-03-2017</t>
  </si>
  <si>
    <t>03-07-2022</t>
  </si>
  <si>
    <t>25-11-2017</t>
  </si>
  <si>
    <t xml:space="preserve"> working condotion</t>
  </si>
  <si>
    <t>SURGI-VAC</t>
  </si>
  <si>
    <t>SURGIX</t>
  </si>
  <si>
    <t>WONDER</t>
  </si>
  <si>
    <t>OLEX</t>
  </si>
  <si>
    <t>wm-7e</t>
  </si>
  <si>
    <t>qjzy10la</t>
  </si>
  <si>
    <t>ALFA SURGICAL</t>
  </si>
  <si>
    <t xml:space="preserve"> working condition</t>
  </si>
  <si>
    <t>Surgi-Vac</t>
  </si>
  <si>
    <t>Maxlife</t>
  </si>
  <si>
    <t>hi vac</t>
  </si>
  <si>
    <t>07-06-2012</t>
  </si>
  <si>
    <t>GNATUS</t>
  </si>
  <si>
    <t>Aparto</t>
  </si>
  <si>
    <t>ESTA-106A</t>
  </si>
  <si>
    <t>infutek</t>
  </si>
  <si>
    <t>elsy 360l</t>
  </si>
  <si>
    <t>moller corella</t>
  </si>
  <si>
    <t>na na</t>
  </si>
  <si>
    <t>infutek 405</t>
  </si>
  <si>
    <t>4a medical</t>
  </si>
  <si>
    <t>23-06-2022</t>
  </si>
  <si>
    <t>AOVWB-B100 - SN Sahu</t>
  </si>
  <si>
    <t>22-06-2022</t>
  </si>
  <si>
    <t>jay-5</t>
  </si>
  <si>
    <t>CONTEC</t>
  </si>
  <si>
    <t>MX -500</t>
  </si>
  <si>
    <t>mipl55 - Rahul Dadhwal</t>
  </si>
  <si>
    <t>PNEUMATIC DRILL (ORTHO O.T.)</t>
  </si>
  <si>
    <t>BOSCH</t>
  </si>
  <si>
    <t>GSR 120-Li</t>
  </si>
  <si>
    <t>16-06-2022</t>
  </si>
  <si>
    <t>Not working condition</t>
  </si>
  <si>
    <t>11-06-2014</t>
  </si>
  <si>
    <t>Dialog</t>
  </si>
  <si>
    <t>05-09-2010</t>
  </si>
  <si>
    <t>Brilliance Pro</t>
  </si>
  <si>
    <t>11-06-2020</t>
  </si>
  <si>
    <t>10-06-2021</t>
  </si>
  <si>
    <t>20E</t>
  </si>
  <si>
    <t>09-11-2021</t>
  </si>
  <si>
    <t>CHEM 5X</t>
  </si>
  <si>
    <t>10-03-2018</t>
  </si>
  <si>
    <t>09-03-2021</t>
  </si>
  <si>
    <t>chem 5X</t>
  </si>
  <si>
    <t>Intellivue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</si>
</sst>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1325"/>
  <sheetViews>
    <sheetView tabSelected="1" workbookViewId="0" showGridLines="true" showRowColHeaders="1">
      <pane ySplit="1" topLeftCell="A2" activePane="bottomLeft" state="frozen"/>
      <selection pane="bottomLeft" activeCell="A1" sqref="A1"/>
    </sheetView>
  </sheetViews>
  <sheetFormatPr defaultRowHeight="14.4" outlineLevelRow="0" outlineLevelCol="0"/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>
        <v>2110060462</v>
      </c>
      <c r="B2" t="s">
        <v>30</v>
      </c>
      <c r="C2" t="s">
        <v>31</v>
      </c>
      <c r="D2" t="s">
        <v>32</v>
      </c>
      <c r="E2" t="s">
        <v>33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tr">
        <f>"59551293"</f>
        <v>0</v>
      </c>
      <c r="L2">
        <v>950000</v>
      </c>
      <c r="M2"/>
      <c r="N2" t="s">
        <v>38</v>
      </c>
      <c r="O2" t="s">
        <v>38</v>
      </c>
      <c r="P2" t="s">
        <v>39</v>
      </c>
      <c r="Q2" t="s">
        <v>40</v>
      </c>
      <c r="R2" t="s">
        <v>41</v>
      </c>
      <c r="S2" t="s">
        <v>42</v>
      </c>
      <c r="T2" t="s">
        <v>42</v>
      </c>
      <c r="U2" t="s">
        <v>43</v>
      </c>
      <c r="V2" t="s">
        <v>44</v>
      </c>
      <c r="W2" t="s">
        <v>43</v>
      </c>
      <c r="X2" t="s">
        <v>45</v>
      </c>
      <c r="Y2" t="s">
        <v>46</v>
      </c>
      <c r="Z2" t="s">
        <v>47</v>
      </c>
      <c r="AA2"/>
      <c r="AB2"/>
      <c r="AC2"/>
      <c r="AD2"/>
    </row>
    <row r="3" spans="1:30">
      <c r="A3">
        <v>2110060468</v>
      </c>
      <c r="B3" t="s">
        <v>30</v>
      </c>
      <c r="C3" t="s">
        <v>31</v>
      </c>
      <c r="D3" t="s">
        <v>32</v>
      </c>
      <c r="E3" t="s">
        <v>48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tr">
        <f>"1909-0122"</f>
        <v>0</v>
      </c>
      <c r="L3">
        <v>180000</v>
      </c>
      <c r="M3"/>
      <c r="N3" t="s">
        <v>38</v>
      </c>
      <c r="O3" t="s">
        <v>38</v>
      </c>
      <c r="P3" t="s">
        <v>53</v>
      </c>
      <c r="Q3" t="s">
        <v>38</v>
      </c>
      <c r="R3" t="s">
        <v>38</v>
      </c>
      <c r="S3" t="s">
        <v>42</v>
      </c>
      <c r="T3" t="s">
        <v>42</v>
      </c>
      <c r="U3" t="s">
        <v>43</v>
      </c>
      <c r="V3" t="s">
        <v>44</v>
      </c>
      <c r="W3" t="s">
        <v>43</v>
      </c>
      <c r="X3" t="s">
        <v>45</v>
      </c>
      <c r="Y3" t="s">
        <v>54</v>
      </c>
      <c r="Z3" t="s">
        <v>47</v>
      </c>
      <c r="AA3"/>
      <c r="AB3"/>
      <c r="AC3"/>
      <c r="AD3"/>
    </row>
    <row r="4" spans="1:30">
      <c r="A4">
        <v>2110060469</v>
      </c>
      <c r="B4" t="s">
        <v>30</v>
      </c>
      <c r="C4" t="s">
        <v>31</v>
      </c>
      <c r="D4" t="s">
        <v>32</v>
      </c>
      <c r="E4" t="s">
        <v>48</v>
      </c>
      <c r="F4" t="s">
        <v>48</v>
      </c>
      <c r="G4" t="s">
        <v>49</v>
      </c>
      <c r="H4" t="s">
        <v>50</v>
      </c>
      <c r="I4" t="s">
        <v>51</v>
      </c>
      <c r="J4" t="s">
        <v>52</v>
      </c>
      <c r="K4" t="str">
        <f>"1914-0122"</f>
        <v>0</v>
      </c>
      <c r="L4">
        <v>180000</v>
      </c>
      <c r="M4"/>
      <c r="N4" t="s">
        <v>38</v>
      </c>
      <c r="O4" t="s">
        <v>38</v>
      </c>
      <c r="P4" t="s">
        <v>53</v>
      </c>
      <c r="Q4" t="s">
        <v>38</v>
      </c>
      <c r="R4" t="s">
        <v>38</v>
      </c>
      <c r="S4" t="s">
        <v>42</v>
      </c>
      <c r="T4" t="s">
        <v>42</v>
      </c>
      <c r="U4" t="s">
        <v>43</v>
      </c>
      <c r="V4" t="s">
        <v>44</v>
      </c>
      <c r="W4" t="s">
        <v>43</v>
      </c>
      <c r="X4" t="s">
        <v>45</v>
      </c>
      <c r="Y4" t="s">
        <v>54</v>
      </c>
      <c r="Z4" t="s">
        <v>47</v>
      </c>
      <c r="AA4"/>
      <c r="AB4"/>
      <c r="AC4"/>
      <c r="AD4"/>
    </row>
    <row r="5" spans="1:30">
      <c r="A5">
        <v>2110060465</v>
      </c>
      <c r="B5" t="s">
        <v>30</v>
      </c>
      <c r="C5" t="s">
        <v>31</v>
      </c>
      <c r="D5" t="s">
        <v>32</v>
      </c>
      <c r="E5" t="s">
        <v>55</v>
      </c>
      <c r="F5" t="s">
        <v>56</v>
      </c>
      <c r="G5" t="s">
        <v>57</v>
      </c>
      <c r="H5" t="s">
        <v>50</v>
      </c>
      <c r="I5" t="s">
        <v>58</v>
      </c>
      <c r="J5" t="s">
        <v>59</v>
      </c>
      <c r="K5" t="str">
        <f>"R1061316"</f>
        <v>0</v>
      </c>
      <c r="L5">
        <v>72269</v>
      </c>
      <c r="M5"/>
      <c r="N5" t="s">
        <v>38</v>
      </c>
      <c r="O5" t="s">
        <v>38</v>
      </c>
      <c r="P5" t="s">
        <v>53</v>
      </c>
      <c r="Q5" t="s">
        <v>38</v>
      </c>
      <c r="R5" t="s">
        <v>38</v>
      </c>
      <c r="S5" t="s">
        <v>42</v>
      </c>
      <c r="T5" t="s">
        <v>42</v>
      </c>
      <c r="U5" t="s">
        <v>43</v>
      </c>
      <c r="V5" t="s">
        <v>44</v>
      </c>
      <c r="W5" t="s">
        <v>43</v>
      </c>
      <c r="X5" t="s">
        <v>45</v>
      </c>
      <c r="Y5" t="s">
        <v>60</v>
      </c>
      <c r="Z5" t="s">
        <v>47</v>
      </c>
      <c r="AA5"/>
      <c r="AB5"/>
      <c r="AC5"/>
      <c r="AD5"/>
    </row>
    <row r="6" spans="1:30">
      <c r="A6">
        <v>3110110128</v>
      </c>
      <c r="B6" t="s">
        <v>30</v>
      </c>
      <c r="C6" t="s">
        <v>61</v>
      </c>
      <c r="D6" t="s">
        <v>62</v>
      </c>
      <c r="E6" t="s">
        <v>63</v>
      </c>
      <c r="F6" t="s">
        <v>64</v>
      </c>
      <c r="G6" t="s">
        <v>65</v>
      </c>
      <c r="H6" t="s">
        <v>50</v>
      </c>
      <c r="I6" t="s">
        <v>66</v>
      </c>
      <c r="J6" t="s">
        <v>67</v>
      </c>
      <c r="K6" t="str">
        <f>"na"</f>
        <v>0</v>
      </c>
      <c r="L6">
        <v>205357</v>
      </c>
      <c r="M6"/>
      <c r="N6" t="s">
        <v>38</v>
      </c>
      <c r="O6" t="s">
        <v>38</v>
      </c>
      <c r="P6" t="s">
        <v>53</v>
      </c>
      <c r="Q6" t="s">
        <v>38</v>
      </c>
      <c r="R6" t="s">
        <v>38</v>
      </c>
      <c r="S6" t="s">
        <v>68</v>
      </c>
      <c r="T6" t="s">
        <v>68</v>
      </c>
      <c r="U6" t="s">
        <v>43</v>
      </c>
      <c r="V6" t="s">
        <v>44</v>
      </c>
      <c r="W6" t="s">
        <v>43</v>
      </c>
      <c r="X6" t="s">
        <v>45</v>
      </c>
      <c r="Y6" t="s">
        <v>69</v>
      </c>
      <c r="Z6" t="s">
        <v>70</v>
      </c>
      <c r="AA6"/>
      <c r="AB6"/>
      <c r="AC6"/>
      <c r="AD6"/>
    </row>
    <row r="7" spans="1:30">
      <c r="A7">
        <v>3110100272</v>
      </c>
      <c r="B7" t="s">
        <v>30</v>
      </c>
      <c r="C7" t="s">
        <v>61</v>
      </c>
      <c r="D7" t="s">
        <v>71</v>
      </c>
      <c r="E7" t="s">
        <v>72</v>
      </c>
      <c r="F7" t="s">
        <v>56</v>
      </c>
      <c r="G7" t="s">
        <v>57</v>
      </c>
      <c r="H7" t="s">
        <v>50</v>
      </c>
      <c r="I7" t="s">
        <v>73</v>
      </c>
      <c r="J7" t="s">
        <v>74</v>
      </c>
      <c r="K7" t="str">
        <f>"2k24030566"</f>
        <v>0</v>
      </c>
      <c r="L7">
        <v>106200</v>
      </c>
      <c r="M7"/>
      <c r="N7" t="s">
        <v>38</v>
      </c>
      <c r="O7" t="s">
        <v>38</v>
      </c>
      <c r="P7" t="s">
        <v>39</v>
      </c>
      <c r="Q7" t="s">
        <v>75</v>
      </c>
      <c r="R7" t="s">
        <v>76</v>
      </c>
      <c r="S7" t="s">
        <v>42</v>
      </c>
      <c r="T7" t="s">
        <v>42</v>
      </c>
      <c r="U7" t="s">
        <v>43</v>
      </c>
      <c r="V7" t="s">
        <v>77</v>
      </c>
      <c r="W7" t="s">
        <v>43</v>
      </c>
      <c r="X7" t="s">
        <v>45</v>
      </c>
      <c r="Y7" t="s">
        <v>78</v>
      </c>
      <c r="Z7" t="s">
        <v>47</v>
      </c>
      <c r="AA7"/>
      <c r="AB7"/>
      <c r="AC7"/>
      <c r="AD7"/>
    </row>
    <row r="8" spans="1:30">
      <c r="A8">
        <v>3110110136</v>
      </c>
      <c r="B8" t="s">
        <v>30</v>
      </c>
      <c r="C8" t="s">
        <v>61</v>
      </c>
      <c r="D8" t="s">
        <v>62</v>
      </c>
      <c r="E8" t="s">
        <v>79</v>
      </c>
      <c r="F8" t="s">
        <v>80</v>
      </c>
      <c r="G8" t="s">
        <v>81</v>
      </c>
      <c r="H8" t="s">
        <v>50</v>
      </c>
      <c r="I8" t="s">
        <v>82</v>
      </c>
      <c r="J8" t="s">
        <v>83</v>
      </c>
      <c r="K8" t="str">
        <f>"485611"</f>
        <v>0</v>
      </c>
      <c r="L8">
        <v>15000</v>
      </c>
      <c r="M8"/>
      <c r="N8" t="s">
        <v>38</v>
      </c>
      <c r="O8" t="s">
        <v>38</v>
      </c>
      <c r="P8" t="s">
        <v>53</v>
      </c>
      <c r="Q8" t="s">
        <v>38</v>
      </c>
      <c r="R8" t="s">
        <v>38</v>
      </c>
      <c r="S8" t="s">
        <v>68</v>
      </c>
      <c r="T8" t="s">
        <v>68</v>
      </c>
      <c r="U8" t="s">
        <v>43</v>
      </c>
      <c r="V8" t="s">
        <v>44</v>
      </c>
      <c r="W8" t="s">
        <v>43</v>
      </c>
      <c r="X8" t="s">
        <v>45</v>
      </c>
      <c r="Y8" t="s">
        <v>84</v>
      </c>
      <c r="Z8" t="s">
        <v>70</v>
      </c>
      <c r="AA8"/>
      <c r="AB8"/>
      <c r="AC8"/>
      <c r="AD8"/>
    </row>
    <row r="9" spans="1:30">
      <c r="A9">
        <v>2110060470</v>
      </c>
      <c r="B9" t="s">
        <v>30</v>
      </c>
      <c r="C9" t="s">
        <v>31</v>
      </c>
      <c r="D9" t="s">
        <v>32</v>
      </c>
      <c r="E9" t="s">
        <v>48</v>
      </c>
      <c r="F9" t="s">
        <v>48</v>
      </c>
      <c r="G9" t="s">
        <v>85</v>
      </c>
      <c r="H9" t="s">
        <v>50</v>
      </c>
      <c r="I9" t="s">
        <v>86</v>
      </c>
      <c r="J9" t="s">
        <v>87</v>
      </c>
      <c r="K9" t="str">
        <f>"b 1903164"</f>
        <v>0</v>
      </c>
      <c r="L9">
        <v>30000</v>
      </c>
      <c r="M9"/>
      <c r="N9" t="s">
        <v>38</v>
      </c>
      <c r="O9" t="s">
        <v>38</v>
      </c>
      <c r="P9" t="s">
        <v>53</v>
      </c>
      <c r="Q9" t="s">
        <v>38</v>
      </c>
      <c r="R9" t="s">
        <v>38</v>
      </c>
      <c r="S9" t="s">
        <v>42</v>
      </c>
      <c r="T9" t="s">
        <v>42</v>
      </c>
      <c r="U9" t="s">
        <v>43</v>
      </c>
      <c r="V9" t="s">
        <v>44</v>
      </c>
      <c r="W9" t="s">
        <v>43</v>
      </c>
      <c r="X9" t="s">
        <v>45</v>
      </c>
      <c r="Y9" t="s">
        <v>54</v>
      </c>
      <c r="Z9" t="s">
        <v>47</v>
      </c>
      <c r="AA9"/>
      <c r="AB9"/>
      <c r="AC9"/>
      <c r="AD9"/>
    </row>
    <row r="10" spans="1:30">
      <c r="A10">
        <v>4110030039</v>
      </c>
      <c r="B10" t="s">
        <v>30</v>
      </c>
      <c r="C10" t="s">
        <v>88</v>
      </c>
      <c r="D10" t="s">
        <v>89</v>
      </c>
      <c r="E10" t="s">
        <v>48</v>
      </c>
      <c r="F10" t="s">
        <v>90</v>
      </c>
      <c r="G10" t="s">
        <v>85</v>
      </c>
      <c r="H10" t="s">
        <v>50</v>
      </c>
      <c r="I10" t="s">
        <v>91</v>
      </c>
      <c r="J10" t="s">
        <v>59</v>
      </c>
      <c r="K10" t="str">
        <f>"539,2781"</f>
        <v>0</v>
      </c>
      <c r="L10">
        <v>30000</v>
      </c>
      <c r="M10"/>
      <c r="N10" t="s">
        <v>38</v>
      </c>
      <c r="O10" t="s">
        <v>38</v>
      </c>
      <c r="P10" t="s">
        <v>53</v>
      </c>
      <c r="Q10" t="s">
        <v>38</v>
      </c>
      <c r="R10" t="s">
        <v>38</v>
      </c>
      <c r="S10" t="s">
        <v>42</v>
      </c>
      <c r="T10" t="s">
        <v>42</v>
      </c>
      <c r="U10" t="s">
        <v>43</v>
      </c>
      <c r="V10" t="s">
        <v>44</v>
      </c>
      <c r="W10" t="s">
        <v>43</v>
      </c>
      <c r="X10" t="s">
        <v>45</v>
      </c>
      <c r="Y10" t="s">
        <v>92</v>
      </c>
      <c r="Z10" t="s">
        <v>47</v>
      </c>
      <c r="AA10"/>
      <c r="AB10"/>
      <c r="AC10"/>
      <c r="AD10"/>
    </row>
    <row r="11" spans="1:30">
      <c r="A11">
        <v>2110060471</v>
      </c>
      <c r="B11" t="s">
        <v>30</v>
      </c>
      <c r="C11" t="s">
        <v>31</v>
      </c>
      <c r="D11" t="s">
        <v>32</v>
      </c>
      <c r="E11" t="s">
        <v>93</v>
      </c>
      <c r="F11" t="s">
        <v>94</v>
      </c>
      <c r="G11" t="s">
        <v>95</v>
      </c>
      <c r="H11" t="s">
        <v>35</v>
      </c>
      <c r="I11" t="s">
        <v>96</v>
      </c>
      <c r="J11" t="s">
        <v>97</v>
      </c>
      <c r="K11" t="str">
        <f>"niw04022009023/20"</f>
        <v>0</v>
      </c>
      <c r="L11">
        <v>28200</v>
      </c>
      <c r="M11"/>
      <c r="N11" t="s">
        <v>38</v>
      </c>
      <c r="O11" t="s">
        <v>38</v>
      </c>
      <c r="P11" t="s">
        <v>53</v>
      </c>
      <c r="Q11" t="s">
        <v>38</v>
      </c>
      <c r="R11" t="s">
        <v>38</v>
      </c>
      <c r="S11" t="s">
        <v>42</v>
      </c>
      <c r="T11" t="s">
        <v>42</v>
      </c>
      <c r="U11" t="s">
        <v>43</v>
      </c>
      <c r="V11" t="s">
        <v>44</v>
      </c>
      <c r="W11" t="s">
        <v>43</v>
      </c>
      <c r="X11" t="s">
        <v>45</v>
      </c>
      <c r="Y11" t="s">
        <v>98</v>
      </c>
      <c r="Z11" t="s">
        <v>47</v>
      </c>
      <c r="AA11"/>
      <c r="AB11"/>
      <c r="AC11"/>
      <c r="AD11"/>
    </row>
    <row r="12" spans="1:30">
      <c r="A12">
        <v>2110060484</v>
      </c>
      <c r="B12" t="s">
        <v>30</v>
      </c>
      <c r="C12" t="s">
        <v>31</v>
      </c>
      <c r="D12" t="s">
        <v>32</v>
      </c>
      <c r="E12" t="s">
        <v>93</v>
      </c>
      <c r="F12" t="s">
        <v>94</v>
      </c>
      <c r="G12" t="s">
        <v>95</v>
      </c>
      <c r="H12" t="s">
        <v>35</v>
      </c>
      <c r="I12" t="s">
        <v>96</v>
      </c>
      <c r="J12" t="s">
        <v>97</v>
      </c>
      <c r="K12" t="str">
        <f>"niw04022009026/05"</f>
        <v>0</v>
      </c>
      <c r="L12">
        <v>28200</v>
      </c>
      <c r="M12"/>
      <c r="N12" t="s">
        <v>38</v>
      </c>
      <c r="O12" t="s">
        <v>38</v>
      </c>
      <c r="P12" t="s">
        <v>53</v>
      </c>
      <c r="Q12" t="s">
        <v>38</v>
      </c>
      <c r="R12" t="s">
        <v>38</v>
      </c>
      <c r="S12" t="s">
        <v>42</v>
      </c>
      <c r="T12" t="s">
        <v>42</v>
      </c>
      <c r="U12" t="s">
        <v>43</v>
      </c>
      <c r="V12" t="s">
        <v>44</v>
      </c>
      <c r="W12" t="s">
        <v>43</v>
      </c>
      <c r="X12" t="s">
        <v>45</v>
      </c>
      <c r="Y12" t="s">
        <v>98</v>
      </c>
      <c r="Z12" t="s">
        <v>47</v>
      </c>
      <c r="AA12"/>
      <c r="AB12"/>
      <c r="AC12"/>
      <c r="AD12"/>
    </row>
    <row r="13" spans="1:30">
      <c r="A13">
        <v>2110060485</v>
      </c>
      <c r="B13" t="s">
        <v>30</v>
      </c>
      <c r="C13" t="s">
        <v>31</v>
      </c>
      <c r="D13" t="s">
        <v>32</v>
      </c>
      <c r="E13" t="s">
        <v>93</v>
      </c>
      <c r="F13" t="s">
        <v>94</v>
      </c>
      <c r="G13" t="s">
        <v>95</v>
      </c>
      <c r="H13" t="s">
        <v>35</v>
      </c>
      <c r="I13" t="s">
        <v>96</v>
      </c>
      <c r="J13" t="s">
        <v>97</v>
      </c>
      <c r="K13" t="str">
        <f>"miw04022009026/01"</f>
        <v>0</v>
      </c>
      <c r="L13">
        <v>28200</v>
      </c>
      <c r="M13"/>
      <c r="N13" t="s">
        <v>38</v>
      </c>
      <c r="O13" t="s">
        <v>38</v>
      </c>
      <c r="P13" t="s">
        <v>53</v>
      </c>
      <c r="Q13" t="s">
        <v>38</v>
      </c>
      <c r="R13" t="s">
        <v>38</v>
      </c>
      <c r="S13" t="s">
        <v>42</v>
      </c>
      <c r="T13" t="s">
        <v>42</v>
      </c>
      <c r="U13" t="s">
        <v>43</v>
      </c>
      <c r="V13" t="s">
        <v>44</v>
      </c>
      <c r="W13" t="s">
        <v>43</v>
      </c>
      <c r="X13" t="s">
        <v>45</v>
      </c>
      <c r="Y13" t="s">
        <v>98</v>
      </c>
      <c r="Z13" t="s">
        <v>47</v>
      </c>
      <c r="AA13"/>
      <c r="AB13"/>
      <c r="AC13"/>
      <c r="AD13"/>
    </row>
    <row r="14" spans="1:30">
      <c r="A14">
        <v>2110060486</v>
      </c>
      <c r="B14" t="s">
        <v>30</v>
      </c>
      <c r="C14" t="s">
        <v>31</v>
      </c>
      <c r="D14" t="s">
        <v>32</v>
      </c>
      <c r="E14" t="s">
        <v>93</v>
      </c>
      <c r="F14" t="s">
        <v>94</v>
      </c>
      <c r="G14" t="s">
        <v>95</v>
      </c>
      <c r="H14" t="s">
        <v>35</v>
      </c>
      <c r="I14" t="s">
        <v>96</v>
      </c>
      <c r="J14" t="s">
        <v>97</v>
      </c>
      <c r="K14" t="str">
        <f>"niw04022009023/05"</f>
        <v>0</v>
      </c>
      <c r="L14">
        <v>28200</v>
      </c>
      <c r="M14"/>
      <c r="N14" t="s">
        <v>38</v>
      </c>
      <c r="O14" t="s">
        <v>38</v>
      </c>
      <c r="P14" t="s">
        <v>53</v>
      </c>
      <c r="Q14" t="s">
        <v>38</v>
      </c>
      <c r="R14" t="s">
        <v>38</v>
      </c>
      <c r="S14" t="s">
        <v>42</v>
      </c>
      <c r="T14" t="s">
        <v>42</v>
      </c>
      <c r="U14" t="s">
        <v>43</v>
      </c>
      <c r="V14" t="s">
        <v>44</v>
      </c>
      <c r="W14" t="s">
        <v>43</v>
      </c>
      <c r="X14" t="s">
        <v>45</v>
      </c>
      <c r="Y14" t="s">
        <v>98</v>
      </c>
      <c r="Z14" t="s">
        <v>47</v>
      </c>
      <c r="AA14"/>
      <c r="AB14"/>
      <c r="AC14"/>
      <c r="AD14"/>
    </row>
    <row r="15" spans="1:30">
      <c r="A15">
        <v>2110060487</v>
      </c>
      <c r="B15" t="s">
        <v>30</v>
      </c>
      <c r="C15" t="s">
        <v>31</v>
      </c>
      <c r="D15" t="s">
        <v>32</v>
      </c>
      <c r="E15" t="s">
        <v>93</v>
      </c>
      <c r="F15" t="s">
        <v>94</v>
      </c>
      <c r="G15" t="s">
        <v>95</v>
      </c>
      <c r="H15" t="s">
        <v>35</v>
      </c>
      <c r="I15" t="s">
        <v>96</v>
      </c>
      <c r="J15" t="s">
        <v>97</v>
      </c>
      <c r="K15" t="str">
        <f>"niw04022009023/02"</f>
        <v>0</v>
      </c>
      <c r="L15">
        <v>28200</v>
      </c>
      <c r="M15"/>
      <c r="N15" t="s">
        <v>38</v>
      </c>
      <c r="O15" t="s">
        <v>38</v>
      </c>
      <c r="P15" t="s">
        <v>53</v>
      </c>
      <c r="Q15" t="s">
        <v>38</v>
      </c>
      <c r="R15" t="s">
        <v>38</v>
      </c>
      <c r="S15" t="s">
        <v>42</v>
      </c>
      <c r="T15" t="s">
        <v>42</v>
      </c>
      <c r="U15" t="s">
        <v>43</v>
      </c>
      <c r="V15" t="s">
        <v>44</v>
      </c>
      <c r="W15" t="s">
        <v>43</v>
      </c>
      <c r="X15" t="s">
        <v>45</v>
      </c>
      <c r="Y15" t="s">
        <v>98</v>
      </c>
      <c r="Z15" t="s">
        <v>47</v>
      </c>
      <c r="AA15"/>
      <c r="AB15"/>
      <c r="AC15"/>
      <c r="AD15"/>
    </row>
    <row r="16" spans="1:30">
      <c r="A16">
        <v>2110060488</v>
      </c>
      <c r="B16" t="s">
        <v>30</v>
      </c>
      <c r="C16" t="s">
        <v>31</v>
      </c>
      <c r="D16" t="s">
        <v>32</v>
      </c>
      <c r="E16" t="s">
        <v>93</v>
      </c>
      <c r="F16" t="s">
        <v>94</v>
      </c>
      <c r="G16" t="s">
        <v>95</v>
      </c>
      <c r="H16" t="s">
        <v>35</v>
      </c>
      <c r="I16" t="s">
        <v>96</v>
      </c>
      <c r="J16" t="s">
        <v>97</v>
      </c>
      <c r="K16" t="str">
        <f>"niw04022009026/07"</f>
        <v>0</v>
      </c>
      <c r="L16">
        <v>28200</v>
      </c>
      <c r="M16"/>
      <c r="N16" t="s">
        <v>38</v>
      </c>
      <c r="O16" t="s">
        <v>38</v>
      </c>
      <c r="P16" t="s">
        <v>53</v>
      </c>
      <c r="Q16" t="s">
        <v>38</v>
      </c>
      <c r="R16" t="s">
        <v>38</v>
      </c>
      <c r="S16" t="s">
        <v>42</v>
      </c>
      <c r="T16" t="s">
        <v>42</v>
      </c>
      <c r="U16" t="s">
        <v>43</v>
      </c>
      <c r="V16" t="s">
        <v>44</v>
      </c>
      <c r="W16" t="s">
        <v>43</v>
      </c>
      <c r="X16" t="s">
        <v>45</v>
      </c>
      <c r="Y16" t="s">
        <v>98</v>
      </c>
      <c r="Z16" t="s">
        <v>47</v>
      </c>
      <c r="AA16"/>
      <c r="AB16"/>
      <c r="AC16"/>
      <c r="AD16"/>
    </row>
    <row r="17" spans="1:30">
      <c r="A17">
        <v>3110110129</v>
      </c>
      <c r="B17" t="s">
        <v>30</v>
      </c>
      <c r="C17" t="s">
        <v>61</v>
      </c>
      <c r="D17" t="s">
        <v>62</v>
      </c>
      <c r="E17" t="s">
        <v>63</v>
      </c>
      <c r="F17" t="s">
        <v>64</v>
      </c>
      <c r="G17" t="s">
        <v>99</v>
      </c>
      <c r="H17" t="s">
        <v>50</v>
      </c>
      <c r="I17" t="s">
        <v>100</v>
      </c>
      <c r="J17" t="s">
        <v>101</v>
      </c>
      <c r="K17" t="str">
        <f>"na"</f>
        <v>0</v>
      </c>
      <c r="L17">
        <v>36000</v>
      </c>
      <c r="M17">
        <v>0</v>
      </c>
      <c r="N17" t="s">
        <v>38</v>
      </c>
      <c r="O17" t="s">
        <v>38</v>
      </c>
      <c r="P17" t="s">
        <v>53</v>
      </c>
      <c r="Q17" t="s">
        <v>38</v>
      </c>
      <c r="R17" t="s">
        <v>38</v>
      </c>
      <c r="S17" t="s">
        <v>42</v>
      </c>
      <c r="T17" t="s">
        <v>42</v>
      </c>
      <c r="U17" t="s">
        <v>43</v>
      </c>
      <c r="V17" t="s">
        <v>44</v>
      </c>
      <c r="W17" t="s">
        <v>43</v>
      </c>
      <c r="X17" t="s">
        <v>45</v>
      </c>
      <c r="Y17" t="s">
        <v>69</v>
      </c>
      <c r="Z17" t="s">
        <v>47</v>
      </c>
      <c r="AA17"/>
      <c r="AB17"/>
      <c r="AC17"/>
      <c r="AD17"/>
    </row>
    <row r="18" spans="1:30">
      <c r="A18">
        <v>3110110130</v>
      </c>
      <c r="B18" t="s">
        <v>30</v>
      </c>
      <c r="C18" t="s">
        <v>61</v>
      </c>
      <c r="D18" t="s">
        <v>62</v>
      </c>
      <c r="E18" t="s">
        <v>63</v>
      </c>
      <c r="F18" t="s">
        <v>64</v>
      </c>
      <c r="G18" t="s">
        <v>99</v>
      </c>
      <c r="H18" t="s">
        <v>50</v>
      </c>
      <c r="I18" t="s">
        <v>100</v>
      </c>
      <c r="J18" t="s">
        <v>101</v>
      </c>
      <c r="K18" t="str">
        <f>"na"</f>
        <v>0</v>
      </c>
      <c r="L18">
        <v>36000</v>
      </c>
      <c r="M18"/>
      <c r="N18" t="s">
        <v>38</v>
      </c>
      <c r="O18" t="s">
        <v>38</v>
      </c>
      <c r="P18" t="s">
        <v>53</v>
      </c>
      <c r="Q18" t="s">
        <v>38</v>
      </c>
      <c r="R18" t="s">
        <v>38</v>
      </c>
      <c r="S18" t="s">
        <v>42</v>
      </c>
      <c r="T18" t="s">
        <v>42</v>
      </c>
      <c r="U18" t="s">
        <v>43</v>
      </c>
      <c r="V18" t="s">
        <v>44</v>
      </c>
      <c r="W18" t="s">
        <v>43</v>
      </c>
      <c r="X18" t="s">
        <v>45</v>
      </c>
      <c r="Y18" t="s">
        <v>69</v>
      </c>
      <c r="Z18" t="s">
        <v>47</v>
      </c>
      <c r="AA18"/>
      <c r="AB18"/>
      <c r="AC18"/>
      <c r="AD18"/>
    </row>
    <row r="19" spans="1:30">
      <c r="A19">
        <v>3110110133</v>
      </c>
      <c r="B19" t="s">
        <v>30</v>
      </c>
      <c r="C19" t="s">
        <v>61</v>
      </c>
      <c r="D19" t="s">
        <v>62</v>
      </c>
      <c r="E19" t="s">
        <v>63</v>
      </c>
      <c r="F19" t="s">
        <v>64</v>
      </c>
      <c r="G19" t="s">
        <v>99</v>
      </c>
      <c r="H19" t="s">
        <v>50</v>
      </c>
      <c r="I19" t="s">
        <v>102</v>
      </c>
      <c r="J19" t="s">
        <v>103</v>
      </c>
      <c r="K19" t="str">
        <f>"ma21050561608"</f>
        <v>0</v>
      </c>
      <c r="L19">
        <v>77650</v>
      </c>
      <c r="M19"/>
      <c r="N19" t="s">
        <v>38</v>
      </c>
      <c r="O19" t="s">
        <v>38</v>
      </c>
      <c r="P19" t="s">
        <v>53</v>
      </c>
      <c r="Q19" t="s">
        <v>38</v>
      </c>
      <c r="R19" t="s">
        <v>38</v>
      </c>
      <c r="S19" t="s">
        <v>42</v>
      </c>
      <c r="T19" t="s">
        <v>42</v>
      </c>
      <c r="U19" t="s">
        <v>43</v>
      </c>
      <c r="V19" t="s">
        <v>44</v>
      </c>
      <c r="W19" t="s">
        <v>43</v>
      </c>
      <c r="X19" t="s">
        <v>45</v>
      </c>
      <c r="Y19" t="s">
        <v>69</v>
      </c>
      <c r="Z19" t="s">
        <v>47</v>
      </c>
      <c r="AA19"/>
      <c r="AB19"/>
      <c r="AC19"/>
      <c r="AD19"/>
    </row>
    <row r="20" spans="1:30">
      <c r="A20">
        <v>3110110132</v>
      </c>
      <c r="B20" t="s">
        <v>30</v>
      </c>
      <c r="C20" t="s">
        <v>61</v>
      </c>
      <c r="D20" t="s">
        <v>62</v>
      </c>
      <c r="E20" t="s">
        <v>63</v>
      </c>
      <c r="F20" t="s">
        <v>64</v>
      </c>
      <c r="G20" t="s">
        <v>99</v>
      </c>
      <c r="H20" t="s">
        <v>50</v>
      </c>
      <c r="I20" t="s">
        <v>102</v>
      </c>
      <c r="J20" t="s">
        <v>103</v>
      </c>
      <c r="K20" t="str">
        <f>"ma21050581689"</f>
        <v>0</v>
      </c>
      <c r="L20">
        <v>77650</v>
      </c>
      <c r="M20">
        <v>0</v>
      </c>
      <c r="N20" t="s">
        <v>38</v>
      </c>
      <c r="O20" t="s">
        <v>38</v>
      </c>
      <c r="P20" t="s">
        <v>53</v>
      </c>
      <c r="Q20" t="s">
        <v>38</v>
      </c>
      <c r="R20" t="s">
        <v>38</v>
      </c>
      <c r="S20" t="s">
        <v>42</v>
      </c>
      <c r="T20" t="s">
        <v>42</v>
      </c>
      <c r="U20" t="s">
        <v>43</v>
      </c>
      <c r="V20" t="s">
        <v>44</v>
      </c>
      <c r="W20" t="s">
        <v>43</v>
      </c>
      <c r="X20" t="s">
        <v>45</v>
      </c>
      <c r="Y20" t="s">
        <v>69</v>
      </c>
      <c r="Z20" t="s">
        <v>47</v>
      </c>
      <c r="AA20"/>
      <c r="AB20"/>
      <c r="AC20"/>
      <c r="AD20"/>
    </row>
    <row r="21" spans="1:30">
      <c r="A21">
        <v>3110110131</v>
      </c>
      <c r="B21" t="s">
        <v>30</v>
      </c>
      <c r="C21" t="s">
        <v>61</v>
      </c>
      <c r="D21" t="s">
        <v>62</v>
      </c>
      <c r="E21" t="s">
        <v>63</v>
      </c>
      <c r="F21" t="s">
        <v>64</v>
      </c>
      <c r="G21" t="s">
        <v>99</v>
      </c>
      <c r="H21" t="s">
        <v>50</v>
      </c>
      <c r="I21" t="s">
        <v>102</v>
      </c>
      <c r="J21" t="s">
        <v>103</v>
      </c>
      <c r="K21" t="str">
        <f>"ma21050561249"</f>
        <v>0</v>
      </c>
      <c r="L21">
        <v>77650</v>
      </c>
      <c r="M21">
        <v>0</v>
      </c>
      <c r="N21" t="s">
        <v>38</v>
      </c>
      <c r="O21" t="s">
        <v>38</v>
      </c>
      <c r="P21" t="s">
        <v>53</v>
      </c>
      <c r="Q21" t="s">
        <v>38</v>
      </c>
      <c r="R21" t="s">
        <v>38</v>
      </c>
      <c r="S21" t="s">
        <v>42</v>
      </c>
      <c r="T21" t="s">
        <v>42</v>
      </c>
      <c r="U21" t="s">
        <v>43</v>
      </c>
      <c r="V21" t="s">
        <v>44</v>
      </c>
      <c r="W21" t="s">
        <v>43</v>
      </c>
      <c r="X21" t="s">
        <v>45</v>
      </c>
      <c r="Y21" t="s">
        <v>69</v>
      </c>
      <c r="Z21" t="s">
        <v>47</v>
      </c>
      <c r="AA21"/>
      <c r="AB21"/>
      <c r="AC21"/>
      <c r="AD21"/>
    </row>
    <row r="22" spans="1:30">
      <c r="A22">
        <v>2110060463</v>
      </c>
      <c r="B22" t="s">
        <v>30</v>
      </c>
      <c r="C22" t="s">
        <v>31</v>
      </c>
      <c r="D22" t="s">
        <v>32</v>
      </c>
      <c r="E22" t="s">
        <v>104</v>
      </c>
      <c r="F22" t="s">
        <v>64</v>
      </c>
      <c r="G22" t="s">
        <v>99</v>
      </c>
      <c r="H22" t="s">
        <v>50</v>
      </c>
      <c r="I22" t="s">
        <v>105</v>
      </c>
      <c r="J22" t="s">
        <v>106</v>
      </c>
      <c r="K22" t="str">
        <f>"mzj10d14099"</f>
        <v>0</v>
      </c>
      <c r="L22">
        <v>86400</v>
      </c>
      <c r="M22"/>
      <c r="N22" t="s">
        <v>38</v>
      </c>
      <c r="O22" t="s">
        <v>38</v>
      </c>
      <c r="P22" t="s">
        <v>53</v>
      </c>
      <c r="Q22" t="s">
        <v>38</v>
      </c>
      <c r="R22" t="s">
        <v>38</v>
      </c>
      <c r="S22" t="s">
        <v>42</v>
      </c>
      <c r="T22" t="s">
        <v>42</v>
      </c>
      <c r="U22" t="s">
        <v>43</v>
      </c>
      <c r="V22" t="s">
        <v>44</v>
      </c>
      <c r="W22" t="s">
        <v>43</v>
      </c>
      <c r="X22" t="s">
        <v>45</v>
      </c>
      <c r="Y22" t="s">
        <v>107</v>
      </c>
      <c r="Z22" t="s">
        <v>47</v>
      </c>
      <c r="AA22"/>
      <c r="AB22"/>
      <c r="AC22"/>
      <c r="AD22"/>
    </row>
    <row r="23" spans="1:30">
      <c r="A23">
        <v>2110060464</v>
      </c>
      <c r="B23" t="s">
        <v>30</v>
      </c>
      <c r="C23" t="s">
        <v>31</v>
      </c>
      <c r="D23" t="s">
        <v>32</v>
      </c>
      <c r="E23" t="s">
        <v>55</v>
      </c>
      <c r="F23" t="s">
        <v>108</v>
      </c>
      <c r="G23" t="s">
        <v>109</v>
      </c>
      <c r="H23" t="s">
        <v>50</v>
      </c>
      <c r="I23" t="s">
        <v>110</v>
      </c>
      <c r="J23" t="s">
        <v>59</v>
      </c>
      <c r="K23" t="str">
        <f>"na"</f>
        <v>0</v>
      </c>
      <c r="L23">
        <v>12500</v>
      </c>
      <c r="M23"/>
      <c r="N23" t="s">
        <v>38</v>
      </c>
      <c r="O23" t="s">
        <v>38</v>
      </c>
      <c r="P23" t="s">
        <v>53</v>
      </c>
      <c r="Q23" t="s">
        <v>38</v>
      </c>
      <c r="R23" t="s">
        <v>38</v>
      </c>
      <c r="S23" t="s">
        <v>42</v>
      </c>
      <c r="T23" t="s">
        <v>42</v>
      </c>
      <c r="U23" t="s">
        <v>43</v>
      </c>
      <c r="V23" t="s">
        <v>44</v>
      </c>
      <c r="W23" t="s">
        <v>43</v>
      </c>
      <c r="X23" t="s">
        <v>45</v>
      </c>
      <c r="Y23" t="s">
        <v>60</v>
      </c>
      <c r="Z23" t="s">
        <v>47</v>
      </c>
      <c r="AA23"/>
      <c r="AB23"/>
      <c r="AC23"/>
      <c r="AD23"/>
    </row>
    <row r="24" spans="1:30">
      <c r="A24">
        <v>4110020057</v>
      </c>
      <c r="B24" t="s">
        <v>30</v>
      </c>
      <c r="C24" t="s">
        <v>88</v>
      </c>
      <c r="D24" t="s">
        <v>111</v>
      </c>
      <c r="E24" t="s">
        <v>112</v>
      </c>
      <c r="F24" t="s">
        <v>113</v>
      </c>
      <c r="G24" t="s">
        <v>114</v>
      </c>
      <c r="H24" t="s">
        <v>35</v>
      </c>
      <c r="I24" t="s">
        <v>115</v>
      </c>
      <c r="J24" t="s">
        <v>116</v>
      </c>
      <c r="K24" t="str">
        <f>"asg l1312346"</f>
        <v>0</v>
      </c>
      <c r="L24">
        <v>79420</v>
      </c>
      <c r="M24"/>
      <c r="N24" t="s">
        <v>38</v>
      </c>
      <c r="O24" t="s">
        <v>38</v>
      </c>
      <c r="P24" t="s">
        <v>53</v>
      </c>
      <c r="Q24" t="s">
        <v>38</v>
      </c>
      <c r="R24" t="s">
        <v>38</v>
      </c>
      <c r="S24" t="s">
        <v>42</v>
      </c>
      <c r="T24" t="s">
        <v>42</v>
      </c>
      <c r="U24" t="s">
        <v>43</v>
      </c>
      <c r="V24" t="s">
        <v>44</v>
      </c>
      <c r="W24" t="s">
        <v>43</v>
      </c>
      <c r="X24" t="s">
        <v>45</v>
      </c>
      <c r="Y24" t="s">
        <v>117</v>
      </c>
      <c r="Z24" t="s">
        <v>47</v>
      </c>
      <c r="AA24"/>
      <c r="AB24"/>
      <c r="AC24"/>
      <c r="AD24"/>
    </row>
    <row r="25" spans="1:30">
      <c r="A25">
        <v>3110100274</v>
      </c>
      <c r="B25" t="s">
        <v>30</v>
      </c>
      <c r="C25" t="s">
        <v>61</v>
      </c>
      <c r="D25" t="s">
        <v>71</v>
      </c>
      <c r="E25" t="s">
        <v>118</v>
      </c>
      <c r="F25" t="s">
        <v>48</v>
      </c>
      <c r="G25" t="s">
        <v>119</v>
      </c>
      <c r="H25" t="s">
        <v>50</v>
      </c>
      <c r="I25" t="s">
        <v>120</v>
      </c>
      <c r="J25" t="s">
        <v>121</v>
      </c>
      <c r="K25" t="str">
        <f>"24240037"</f>
        <v>0</v>
      </c>
      <c r="L25">
        <v>150000</v>
      </c>
      <c r="M25"/>
      <c r="N25" t="s">
        <v>38</v>
      </c>
      <c r="O25" t="s">
        <v>38</v>
      </c>
      <c r="P25" t="s">
        <v>39</v>
      </c>
      <c r="Q25" t="s">
        <v>122</v>
      </c>
      <c r="R25" t="s">
        <v>123</v>
      </c>
      <c r="S25" t="s">
        <v>42</v>
      </c>
      <c r="T25" t="s">
        <v>42</v>
      </c>
      <c r="U25" t="s">
        <v>43</v>
      </c>
      <c r="V25" t="s">
        <v>77</v>
      </c>
      <c r="W25" t="s">
        <v>43</v>
      </c>
      <c r="X25" t="s">
        <v>45</v>
      </c>
      <c r="Y25" t="s">
        <v>124</v>
      </c>
      <c r="Z25" t="s">
        <v>47</v>
      </c>
      <c r="AA25"/>
      <c r="AB25"/>
      <c r="AC25"/>
      <c r="AD25"/>
    </row>
    <row r="26" spans="1:30">
      <c r="A26">
        <v>311010277</v>
      </c>
      <c r="B26" t="s">
        <v>30</v>
      </c>
      <c r="C26" t="s">
        <v>61</v>
      </c>
      <c r="D26" t="s">
        <v>71</v>
      </c>
      <c r="E26" t="s">
        <v>118</v>
      </c>
      <c r="F26" t="s">
        <v>48</v>
      </c>
      <c r="G26" t="s">
        <v>119</v>
      </c>
      <c r="H26" t="s">
        <v>50</v>
      </c>
      <c r="I26" t="s">
        <v>120</v>
      </c>
      <c r="J26" t="s">
        <v>121</v>
      </c>
      <c r="K26" t="str">
        <f>"na"</f>
        <v>0</v>
      </c>
      <c r="L26">
        <v>150000</v>
      </c>
      <c r="M26"/>
      <c r="N26" t="s">
        <v>38</v>
      </c>
      <c r="O26" t="s">
        <v>38</v>
      </c>
      <c r="P26" t="s">
        <v>39</v>
      </c>
      <c r="Q26" t="s">
        <v>122</v>
      </c>
      <c r="R26" t="s">
        <v>123</v>
      </c>
      <c r="S26" t="s">
        <v>42</v>
      </c>
      <c r="T26" t="s">
        <v>42</v>
      </c>
      <c r="U26" t="s">
        <v>43</v>
      </c>
      <c r="V26" t="s">
        <v>77</v>
      </c>
      <c r="W26" t="s">
        <v>43</v>
      </c>
      <c r="X26" t="s">
        <v>45</v>
      </c>
      <c r="Y26" t="s">
        <v>124</v>
      </c>
      <c r="Z26" t="s">
        <v>47</v>
      </c>
      <c r="AA26"/>
      <c r="AB26"/>
      <c r="AC26"/>
      <c r="AD26"/>
    </row>
    <row r="27" spans="1:30">
      <c r="A27">
        <v>2110060472</v>
      </c>
      <c r="B27" t="s">
        <v>30</v>
      </c>
      <c r="C27" t="s">
        <v>31</v>
      </c>
      <c r="D27" t="s">
        <v>32</v>
      </c>
      <c r="E27" t="s">
        <v>33</v>
      </c>
      <c r="F27" t="s">
        <v>125</v>
      </c>
      <c r="G27" t="s">
        <v>126</v>
      </c>
      <c r="H27" t="s">
        <v>35</v>
      </c>
      <c r="I27" t="s">
        <v>127</v>
      </c>
      <c r="J27" t="s">
        <v>128</v>
      </c>
      <c r="K27" t="str">
        <f>"s240m3hwc00006a"</f>
        <v>0</v>
      </c>
      <c r="L27">
        <v>1376000</v>
      </c>
      <c r="M27"/>
      <c r="N27" t="s">
        <v>38</v>
      </c>
      <c r="O27" t="s">
        <v>38</v>
      </c>
      <c r="P27" t="s">
        <v>39</v>
      </c>
      <c r="Q27" t="s">
        <v>129</v>
      </c>
      <c r="R27" t="s">
        <v>130</v>
      </c>
      <c r="S27" t="s">
        <v>42</v>
      </c>
      <c r="T27" t="s">
        <v>42</v>
      </c>
      <c r="U27" t="s">
        <v>43</v>
      </c>
      <c r="V27" t="s">
        <v>44</v>
      </c>
      <c r="W27" t="s">
        <v>43</v>
      </c>
      <c r="X27" t="s">
        <v>45</v>
      </c>
      <c r="Y27" t="s">
        <v>131</v>
      </c>
      <c r="Z27" t="s">
        <v>47</v>
      </c>
      <c r="AA27"/>
      <c r="AB27"/>
      <c r="AC27"/>
      <c r="AD27"/>
    </row>
    <row r="28" spans="1:30">
      <c r="A28">
        <v>3110100273</v>
      </c>
      <c r="B28" t="s">
        <v>30</v>
      </c>
      <c r="C28" t="s">
        <v>61</v>
      </c>
      <c r="D28" t="s">
        <v>71</v>
      </c>
      <c r="E28" t="s">
        <v>132</v>
      </c>
      <c r="F28" t="s">
        <v>125</v>
      </c>
      <c r="G28" t="s">
        <v>126</v>
      </c>
      <c r="H28" t="s">
        <v>35</v>
      </c>
      <c r="I28" t="s">
        <v>127</v>
      </c>
      <c r="J28" t="s">
        <v>128</v>
      </c>
      <c r="K28" t="str">
        <f>"S240M3HWC00030P"</f>
        <v>0</v>
      </c>
      <c r="L28">
        <v>1376000</v>
      </c>
      <c r="M28"/>
      <c r="N28" t="s">
        <v>129</v>
      </c>
      <c r="O28" t="s">
        <v>38</v>
      </c>
      <c r="P28" t="s">
        <v>39</v>
      </c>
      <c r="Q28" t="s">
        <v>129</v>
      </c>
      <c r="R28" t="s">
        <v>130</v>
      </c>
      <c r="S28" t="s">
        <v>42</v>
      </c>
      <c r="T28" t="s">
        <v>42</v>
      </c>
      <c r="U28" t="s">
        <v>43</v>
      </c>
      <c r="V28" t="s">
        <v>77</v>
      </c>
      <c r="W28" t="s">
        <v>43</v>
      </c>
      <c r="X28" t="s">
        <v>45</v>
      </c>
      <c r="Y28" t="s">
        <v>78</v>
      </c>
      <c r="Z28" t="s">
        <v>47</v>
      </c>
      <c r="AA28"/>
      <c r="AB28"/>
      <c r="AC28"/>
      <c r="AD28"/>
    </row>
    <row r="29" spans="1:30">
      <c r="A29">
        <v>3110090096</v>
      </c>
      <c r="B29" t="s">
        <v>30</v>
      </c>
      <c r="C29" t="s">
        <v>61</v>
      </c>
      <c r="D29" t="s">
        <v>133</v>
      </c>
      <c r="E29" t="s">
        <v>33</v>
      </c>
      <c r="F29" t="s">
        <v>125</v>
      </c>
      <c r="G29" t="s">
        <v>126</v>
      </c>
      <c r="H29" t="s">
        <v>35</v>
      </c>
      <c r="I29" t="s">
        <v>127</v>
      </c>
      <c r="J29" t="s">
        <v>128</v>
      </c>
      <c r="K29" t="str">
        <f>"S240m3hwc00012x"</f>
        <v>0</v>
      </c>
      <c r="L29">
        <v>1376000</v>
      </c>
      <c r="M29"/>
      <c r="N29" t="s">
        <v>38</v>
      </c>
      <c r="O29" t="s">
        <v>38</v>
      </c>
      <c r="P29" t="s">
        <v>39</v>
      </c>
      <c r="Q29" t="s">
        <v>129</v>
      </c>
      <c r="R29" t="s">
        <v>130</v>
      </c>
      <c r="S29" t="s">
        <v>42</v>
      </c>
      <c r="T29" t="s">
        <v>42</v>
      </c>
      <c r="U29" t="s">
        <v>43</v>
      </c>
      <c r="V29" t="s">
        <v>44</v>
      </c>
      <c r="W29" t="s">
        <v>43</v>
      </c>
      <c r="X29" t="s">
        <v>45</v>
      </c>
      <c r="Y29" t="s">
        <v>134</v>
      </c>
      <c r="Z29" t="s">
        <v>47</v>
      </c>
      <c r="AA29"/>
      <c r="AB29"/>
      <c r="AC29"/>
      <c r="AD29"/>
    </row>
    <row r="30" spans="1:30">
      <c r="A30">
        <v>2110060466</v>
      </c>
      <c r="B30" t="s">
        <v>30</v>
      </c>
      <c r="C30" t="s">
        <v>31</v>
      </c>
      <c r="D30" t="s">
        <v>32</v>
      </c>
      <c r="E30" t="s">
        <v>135</v>
      </c>
      <c r="F30" t="s">
        <v>48</v>
      </c>
      <c r="G30" t="s">
        <v>136</v>
      </c>
      <c r="H30" t="s">
        <v>50</v>
      </c>
      <c r="I30" t="s">
        <v>137</v>
      </c>
      <c r="J30" t="s">
        <v>138</v>
      </c>
      <c r="K30" t="str">
        <f>"231100074MR00026"</f>
        <v>0</v>
      </c>
      <c r="L30">
        <v>135589</v>
      </c>
      <c r="M30"/>
      <c r="N30" t="s">
        <v>38</v>
      </c>
      <c r="O30" t="s">
        <v>38</v>
      </c>
      <c r="P30" t="s">
        <v>53</v>
      </c>
      <c r="Q30" t="s">
        <v>38</v>
      </c>
      <c r="R30" t="s">
        <v>38</v>
      </c>
      <c r="S30" t="s">
        <v>42</v>
      </c>
      <c r="T30" t="s">
        <v>42</v>
      </c>
      <c r="U30" t="s">
        <v>43</v>
      </c>
      <c r="V30" t="s">
        <v>44</v>
      </c>
      <c r="W30" t="s">
        <v>43</v>
      </c>
      <c r="X30" t="s">
        <v>45</v>
      </c>
      <c r="Y30" t="s">
        <v>139</v>
      </c>
      <c r="Z30" t="s">
        <v>47</v>
      </c>
      <c r="AA30"/>
      <c r="AB30"/>
      <c r="AC30"/>
      <c r="AD30"/>
    </row>
    <row r="31" spans="1:30">
      <c r="A31">
        <v>2110060467</v>
      </c>
      <c r="B31" t="s">
        <v>30</v>
      </c>
      <c r="C31" t="s">
        <v>31</v>
      </c>
      <c r="D31" t="s">
        <v>32</v>
      </c>
      <c r="E31" t="s">
        <v>48</v>
      </c>
      <c r="F31" t="s">
        <v>48</v>
      </c>
      <c r="G31" t="s">
        <v>140</v>
      </c>
      <c r="H31" t="s">
        <v>50</v>
      </c>
      <c r="I31" t="s">
        <v>141</v>
      </c>
      <c r="J31" t="s">
        <v>142</v>
      </c>
      <c r="K31" t="str">
        <f>"6019-1-201910"</f>
        <v>0</v>
      </c>
      <c r="L31">
        <v>68200</v>
      </c>
      <c r="M31"/>
      <c r="N31" t="s">
        <v>38</v>
      </c>
      <c r="O31" t="s">
        <v>38</v>
      </c>
      <c r="P31" t="s">
        <v>53</v>
      </c>
      <c r="Q31" t="s">
        <v>38</v>
      </c>
      <c r="R31" t="s">
        <v>38</v>
      </c>
      <c r="S31" t="s">
        <v>42</v>
      </c>
      <c r="T31" t="s">
        <v>42</v>
      </c>
      <c r="U31" t="s">
        <v>43</v>
      </c>
      <c r="V31" t="s">
        <v>44</v>
      </c>
      <c r="W31" t="s">
        <v>43</v>
      </c>
      <c r="X31" t="s">
        <v>45</v>
      </c>
      <c r="Y31" t="s">
        <v>54</v>
      </c>
      <c r="Z31" t="s">
        <v>47</v>
      </c>
      <c r="AA31"/>
      <c r="AB31"/>
      <c r="AC31"/>
      <c r="AD31"/>
    </row>
    <row r="32" spans="1:30">
      <c r="A32">
        <v>2110060483</v>
      </c>
      <c r="B32" t="s">
        <v>30</v>
      </c>
      <c r="C32" t="s">
        <v>31</v>
      </c>
      <c r="D32" t="s">
        <v>32</v>
      </c>
      <c r="E32" t="s">
        <v>63</v>
      </c>
      <c r="F32" t="s">
        <v>143</v>
      </c>
      <c r="G32" t="s">
        <v>144</v>
      </c>
      <c r="H32" t="s">
        <v>50</v>
      </c>
      <c r="I32" t="s">
        <v>100</v>
      </c>
      <c r="J32" t="s">
        <v>59</v>
      </c>
      <c r="K32" t="str">
        <f>"na"</f>
        <v>0</v>
      </c>
      <c r="L32">
        <v>34335</v>
      </c>
      <c r="M32"/>
      <c r="N32" t="s">
        <v>38</v>
      </c>
      <c r="O32" t="s">
        <v>38</v>
      </c>
      <c r="P32" t="s">
        <v>53</v>
      </c>
      <c r="Q32" t="s">
        <v>38</v>
      </c>
      <c r="R32" t="s">
        <v>38</v>
      </c>
      <c r="S32" t="s">
        <v>42</v>
      </c>
      <c r="T32" t="s">
        <v>42</v>
      </c>
      <c r="U32" t="s">
        <v>43</v>
      </c>
      <c r="V32" t="s">
        <v>44</v>
      </c>
      <c r="W32" t="s">
        <v>43</v>
      </c>
      <c r="X32" t="s">
        <v>45</v>
      </c>
      <c r="Y32" t="s">
        <v>145</v>
      </c>
      <c r="Z32" t="s">
        <v>47</v>
      </c>
      <c r="AA32"/>
      <c r="AB32"/>
      <c r="AC32"/>
      <c r="AD32"/>
    </row>
    <row r="33" spans="1:30">
      <c r="A33">
        <v>3110110135</v>
      </c>
      <c r="B33" t="s">
        <v>30</v>
      </c>
      <c r="C33" t="s">
        <v>61</v>
      </c>
      <c r="D33" t="s">
        <v>62</v>
      </c>
      <c r="E33" t="s">
        <v>146</v>
      </c>
      <c r="F33" t="s">
        <v>147</v>
      </c>
      <c r="G33" t="s">
        <v>148</v>
      </c>
      <c r="H33" t="s">
        <v>35</v>
      </c>
      <c r="I33" t="s">
        <v>149</v>
      </c>
      <c r="J33" t="s">
        <v>150</v>
      </c>
      <c r="K33" t="str">
        <f>"v30a1911008"</f>
        <v>0</v>
      </c>
      <c r="L33">
        <v>47952</v>
      </c>
      <c r="M33"/>
      <c r="N33" t="s">
        <v>38</v>
      </c>
      <c r="O33" t="s">
        <v>38</v>
      </c>
      <c r="P33" t="s">
        <v>53</v>
      </c>
      <c r="Q33" t="s">
        <v>38</v>
      </c>
      <c r="R33" t="s">
        <v>38</v>
      </c>
      <c r="S33" t="s">
        <v>42</v>
      </c>
      <c r="T33" t="s">
        <v>42</v>
      </c>
      <c r="U33" t="s">
        <v>43</v>
      </c>
      <c r="V33" t="s">
        <v>44</v>
      </c>
      <c r="W33" t="s">
        <v>43</v>
      </c>
      <c r="X33" t="s">
        <v>45</v>
      </c>
      <c r="Y33" t="s">
        <v>84</v>
      </c>
      <c r="Z33" t="s">
        <v>47</v>
      </c>
      <c r="AA33"/>
      <c r="AB33"/>
      <c r="AC33"/>
      <c r="AD33"/>
    </row>
    <row r="34" spans="1:30">
      <c r="A34">
        <v>3110090097</v>
      </c>
      <c r="B34" t="s">
        <v>30</v>
      </c>
      <c r="C34" t="s">
        <v>61</v>
      </c>
      <c r="D34" t="s">
        <v>133</v>
      </c>
      <c r="E34" t="s">
        <v>151</v>
      </c>
      <c r="F34" t="s">
        <v>152</v>
      </c>
      <c r="G34" t="s">
        <v>153</v>
      </c>
      <c r="H34" t="s">
        <v>35</v>
      </c>
      <c r="I34" t="s">
        <v>154</v>
      </c>
      <c r="J34" t="s">
        <v>155</v>
      </c>
      <c r="K34" t="str">
        <f>"s1520hccb23-86259,86258"</f>
        <v>0</v>
      </c>
      <c r="L34">
        <v>305000</v>
      </c>
      <c r="M34"/>
      <c r="N34" t="s">
        <v>38</v>
      </c>
      <c r="O34" t="s">
        <v>38</v>
      </c>
      <c r="P34" t="s">
        <v>39</v>
      </c>
      <c r="Q34" t="s">
        <v>156</v>
      </c>
      <c r="R34" t="s">
        <v>157</v>
      </c>
      <c r="S34" t="s">
        <v>42</v>
      </c>
      <c r="T34" t="s">
        <v>42</v>
      </c>
      <c r="U34" t="s">
        <v>43</v>
      </c>
      <c r="V34" t="s">
        <v>44</v>
      </c>
      <c r="W34" t="s">
        <v>43</v>
      </c>
      <c r="X34" t="s">
        <v>45</v>
      </c>
      <c r="Y34" t="s">
        <v>134</v>
      </c>
      <c r="Z34" t="s">
        <v>47</v>
      </c>
      <c r="AA34"/>
      <c r="AB34"/>
      <c r="AC34"/>
      <c r="AD34"/>
    </row>
    <row r="35" spans="1:30">
      <c r="A35">
        <v>3110100275</v>
      </c>
      <c r="B35" t="s">
        <v>30</v>
      </c>
      <c r="C35" t="s">
        <v>61</v>
      </c>
      <c r="D35" t="s">
        <v>71</v>
      </c>
      <c r="E35" t="s">
        <v>118</v>
      </c>
      <c r="F35" t="s">
        <v>48</v>
      </c>
      <c r="G35" t="s">
        <v>158</v>
      </c>
      <c r="H35" t="s">
        <v>50</v>
      </c>
      <c r="I35" t="s">
        <v>159</v>
      </c>
      <c r="J35" t="s">
        <v>160</v>
      </c>
      <c r="K35" t="str">
        <f>"512305004 IE / 502510009IEAX"</f>
        <v>0</v>
      </c>
      <c r="L35">
        <v>149500</v>
      </c>
      <c r="M35"/>
      <c r="N35" t="s">
        <v>38</v>
      </c>
      <c r="O35" t="s">
        <v>38</v>
      </c>
      <c r="P35" t="s">
        <v>39</v>
      </c>
      <c r="Q35" t="s">
        <v>161</v>
      </c>
      <c r="R35" t="s">
        <v>162</v>
      </c>
      <c r="S35" t="s">
        <v>42</v>
      </c>
      <c r="T35" t="s">
        <v>42</v>
      </c>
      <c r="U35" t="s">
        <v>43</v>
      </c>
      <c r="V35" t="s">
        <v>77</v>
      </c>
      <c r="W35" t="s">
        <v>43</v>
      </c>
      <c r="X35" t="s">
        <v>45</v>
      </c>
      <c r="Y35" t="s">
        <v>124</v>
      </c>
      <c r="Z35" t="s">
        <v>47</v>
      </c>
      <c r="AA35"/>
      <c r="AB35"/>
      <c r="AC35"/>
      <c r="AD35"/>
    </row>
    <row r="36" spans="1:30">
      <c r="A36">
        <v>3110100276</v>
      </c>
      <c r="B36" t="s">
        <v>30</v>
      </c>
      <c r="C36" t="s">
        <v>61</v>
      </c>
      <c r="D36" t="s">
        <v>71</v>
      </c>
      <c r="E36" t="s">
        <v>118</v>
      </c>
      <c r="F36" t="s">
        <v>48</v>
      </c>
      <c r="G36" t="s">
        <v>49</v>
      </c>
      <c r="H36" t="s">
        <v>50</v>
      </c>
      <c r="I36" t="s">
        <v>163</v>
      </c>
      <c r="J36" t="s">
        <v>164</v>
      </c>
      <c r="K36" t="str">
        <f>"FC0010120RBK"</f>
        <v>0</v>
      </c>
      <c r="L36">
        <v>180000</v>
      </c>
      <c r="M36"/>
      <c r="N36" t="s">
        <v>38</v>
      </c>
      <c r="O36" t="s">
        <v>38</v>
      </c>
      <c r="P36" t="s">
        <v>53</v>
      </c>
      <c r="Q36" t="s">
        <v>38</v>
      </c>
      <c r="R36" t="s">
        <v>38</v>
      </c>
      <c r="S36" t="s">
        <v>42</v>
      </c>
      <c r="T36" t="s">
        <v>42</v>
      </c>
      <c r="U36" t="s">
        <v>43</v>
      </c>
      <c r="V36" t="s">
        <v>77</v>
      </c>
      <c r="W36" t="s">
        <v>43</v>
      </c>
      <c r="X36" t="s">
        <v>45</v>
      </c>
      <c r="Y36" t="s">
        <v>124</v>
      </c>
      <c r="Z36" t="s">
        <v>47</v>
      </c>
      <c r="AA36"/>
      <c r="AB36"/>
      <c r="AC36"/>
      <c r="AD36"/>
    </row>
    <row r="37" spans="1:30">
      <c r="A37">
        <v>4110050055</v>
      </c>
      <c r="B37" t="s">
        <v>30</v>
      </c>
      <c r="C37" t="s">
        <v>88</v>
      </c>
      <c r="D37" t="s">
        <v>165</v>
      </c>
      <c r="E37" t="s">
        <v>79</v>
      </c>
      <c r="F37" t="s">
        <v>166</v>
      </c>
      <c r="G37" t="s">
        <v>167</v>
      </c>
      <c r="H37" t="s">
        <v>35</v>
      </c>
      <c r="I37" t="s">
        <v>168</v>
      </c>
      <c r="J37" t="s">
        <v>169</v>
      </c>
      <c r="K37" t="str">
        <f>"l19170925074"</f>
        <v>0</v>
      </c>
      <c r="L37">
        <v>65000</v>
      </c>
      <c r="M37"/>
      <c r="N37" t="s">
        <v>38</v>
      </c>
      <c r="O37" t="s">
        <v>38</v>
      </c>
      <c r="P37" t="s">
        <v>53</v>
      </c>
      <c r="Q37" t="s">
        <v>38</v>
      </c>
      <c r="R37" t="s">
        <v>38</v>
      </c>
      <c r="S37" t="s">
        <v>42</v>
      </c>
      <c r="T37" t="s">
        <v>42</v>
      </c>
      <c r="U37" t="s">
        <v>170</v>
      </c>
      <c r="V37" t="s">
        <v>44</v>
      </c>
      <c r="W37" t="s">
        <v>170</v>
      </c>
      <c r="X37" t="s">
        <v>45</v>
      </c>
      <c r="Y37" t="s">
        <v>171</v>
      </c>
      <c r="Z37" t="s">
        <v>47</v>
      </c>
      <c r="AA37"/>
      <c r="AB37"/>
      <c r="AC37"/>
      <c r="AD37"/>
    </row>
    <row r="38" spans="1:30">
      <c r="A38">
        <v>3110100278</v>
      </c>
      <c r="B38" t="s">
        <v>30</v>
      </c>
      <c r="C38" t="s">
        <v>61</v>
      </c>
      <c r="D38" t="s">
        <v>71</v>
      </c>
      <c r="E38" t="s">
        <v>118</v>
      </c>
      <c r="F38" t="s">
        <v>48</v>
      </c>
      <c r="G38" t="s">
        <v>172</v>
      </c>
      <c r="H38" t="s">
        <v>50</v>
      </c>
      <c r="I38" t="s">
        <v>173</v>
      </c>
      <c r="J38" t="s">
        <v>174</v>
      </c>
      <c r="K38" t="str">
        <f>"ZKBT05456"</f>
        <v>0</v>
      </c>
      <c r="L38">
        <v>125800</v>
      </c>
      <c r="M38"/>
      <c r="N38" t="s">
        <v>38</v>
      </c>
      <c r="O38" t="s">
        <v>38</v>
      </c>
      <c r="P38" t="s">
        <v>39</v>
      </c>
      <c r="Q38" t="s">
        <v>175</v>
      </c>
      <c r="R38" t="s">
        <v>176</v>
      </c>
      <c r="S38" t="s">
        <v>42</v>
      </c>
      <c r="T38" t="s">
        <v>42</v>
      </c>
      <c r="U38" t="s">
        <v>170</v>
      </c>
      <c r="V38" t="s">
        <v>77</v>
      </c>
      <c r="W38" t="s">
        <v>170</v>
      </c>
      <c r="X38" t="s">
        <v>45</v>
      </c>
      <c r="Y38" t="s">
        <v>124</v>
      </c>
      <c r="Z38" t="s">
        <v>47</v>
      </c>
      <c r="AA38"/>
      <c r="AB38"/>
      <c r="AC38"/>
      <c r="AD38"/>
    </row>
    <row r="39" spans="1:30">
      <c r="A39">
        <v>3110100279</v>
      </c>
      <c r="B39" t="s">
        <v>30</v>
      </c>
      <c r="C39" t="s">
        <v>61</v>
      </c>
      <c r="D39" t="s">
        <v>71</v>
      </c>
      <c r="E39" t="s">
        <v>118</v>
      </c>
      <c r="F39" t="s">
        <v>48</v>
      </c>
      <c r="G39" t="s">
        <v>172</v>
      </c>
      <c r="H39" t="s">
        <v>50</v>
      </c>
      <c r="I39" t="s">
        <v>173</v>
      </c>
      <c r="J39" t="s">
        <v>177</v>
      </c>
      <c r="K39" t="str">
        <f>"ZKBT05457"</f>
        <v>0</v>
      </c>
      <c r="L39">
        <v>125800</v>
      </c>
      <c r="M39"/>
      <c r="N39" t="s">
        <v>38</v>
      </c>
      <c r="O39" t="s">
        <v>38</v>
      </c>
      <c r="P39" t="s">
        <v>39</v>
      </c>
      <c r="Q39" t="s">
        <v>175</v>
      </c>
      <c r="R39" t="s">
        <v>176</v>
      </c>
      <c r="S39" t="s">
        <v>42</v>
      </c>
      <c r="T39" t="s">
        <v>42</v>
      </c>
      <c r="U39" t="s">
        <v>170</v>
      </c>
      <c r="V39" t="s">
        <v>77</v>
      </c>
      <c r="W39" t="s">
        <v>170</v>
      </c>
      <c r="X39" t="s">
        <v>45</v>
      </c>
      <c r="Y39" t="s">
        <v>124</v>
      </c>
      <c r="Z39" t="s">
        <v>47</v>
      </c>
      <c r="AA39"/>
      <c r="AB39"/>
      <c r="AC39"/>
      <c r="AD39"/>
    </row>
    <row r="40" spans="1:30">
      <c r="A40">
        <v>4110050023</v>
      </c>
      <c r="B40" t="s">
        <v>30</v>
      </c>
      <c r="C40" t="s">
        <v>88</v>
      </c>
      <c r="D40" t="s">
        <v>165</v>
      </c>
      <c r="E40" t="s">
        <v>151</v>
      </c>
      <c r="F40" t="s">
        <v>56</v>
      </c>
      <c r="G40" t="s">
        <v>178</v>
      </c>
      <c r="H40" t="s">
        <v>50</v>
      </c>
      <c r="I40" t="s">
        <v>179</v>
      </c>
      <c r="J40" t="s">
        <v>180</v>
      </c>
      <c r="K40" t="str">
        <f>"a- pn :21907022"</f>
        <v>0</v>
      </c>
      <c r="L40">
        <v>126000</v>
      </c>
      <c r="M40"/>
      <c r="N40" t="s">
        <v>38</v>
      </c>
      <c r="O40" t="s">
        <v>38</v>
      </c>
      <c r="P40" t="s">
        <v>53</v>
      </c>
      <c r="Q40" t="s">
        <v>38</v>
      </c>
      <c r="R40" t="s">
        <v>38</v>
      </c>
      <c r="S40" t="s">
        <v>42</v>
      </c>
      <c r="T40" t="s">
        <v>42</v>
      </c>
      <c r="U40" t="s">
        <v>170</v>
      </c>
      <c r="V40" t="s">
        <v>44</v>
      </c>
      <c r="W40" t="s">
        <v>170</v>
      </c>
      <c r="X40" t="s">
        <v>45</v>
      </c>
      <c r="Y40" t="s">
        <v>181</v>
      </c>
      <c r="Z40" t="s">
        <v>47</v>
      </c>
      <c r="AA40"/>
      <c r="AB40"/>
      <c r="AC40"/>
      <c r="AD40"/>
    </row>
    <row r="41" spans="1:30">
      <c r="A41">
        <v>2110060452</v>
      </c>
      <c r="B41" t="s">
        <v>30</v>
      </c>
      <c r="C41" t="s">
        <v>31</v>
      </c>
      <c r="D41" t="s">
        <v>32</v>
      </c>
      <c r="E41" t="s">
        <v>182</v>
      </c>
      <c r="F41" t="s">
        <v>90</v>
      </c>
      <c r="G41" t="s">
        <v>85</v>
      </c>
      <c r="H41" t="s">
        <v>50</v>
      </c>
      <c r="I41" t="s">
        <v>183</v>
      </c>
      <c r="J41" t="s">
        <v>59</v>
      </c>
      <c r="K41" t="str">
        <f>"10587"</f>
        <v>0</v>
      </c>
      <c r="L41">
        <v>17110</v>
      </c>
      <c r="M41"/>
      <c r="N41" t="s">
        <v>38</v>
      </c>
      <c r="O41" t="s">
        <v>38</v>
      </c>
      <c r="P41" t="s">
        <v>39</v>
      </c>
      <c r="Q41" t="s">
        <v>184</v>
      </c>
      <c r="R41" t="s">
        <v>185</v>
      </c>
      <c r="S41" t="s">
        <v>42</v>
      </c>
      <c r="T41" t="s">
        <v>42</v>
      </c>
      <c r="U41" t="s">
        <v>186</v>
      </c>
      <c r="V41" t="s">
        <v>44</v>
      </c>
      <c r="W41" t="s">
        <v>186</v>
      </c>
      <c r="X41" t="s">
        <v>45</v>
      </c>
      <c r="Y41" t="s">
        <v>186</v>
      </c>
      <c r="Z41" t="s">
        <v>47</v>
      </c>
      <c r="AA41"/>
      <c r="AB41"/>
      <c r="AC41"/>
      <c r="AD41"/>
    </row>
    <row r="42" spans="1:30">
      <c r="A42">
        <v>2110060453</v>
      </c>
      <c r="B42" t="s">
        <v>30</v>
      </c>
      <c r="C42" t="s">
        <v>31</v>
      </c>
      <c r="D42" t="s">
        <v>32</v>
      </c>
      <c r="E42" t="s">
        <v>187</v>
      </c>
      <c r="F42" t="s">
        <v>188</v>
      </c>
      <c r="G42" t="s">
        <v>189</v>
      </c>
      <c r="H42" t="s">
        <v>50</v>
      </c>
      <c r="I42" t="s">
        <v>64</v>
      </c>
      <c r="J42" t="s">
        <v>59</v>
      </c>
      <c r="K42" t="str">
        <f>"na"</f>
        <v>0</v>
      </c>
      <c r="L42">
        <v>60000</v>
      </c>
      <c r="M42"/>
      <c r="N42" t="s">
        <v>38</v>
      </c>
      <c r="O42" t="s">
        <v>38</v>
      </c>
      <c r="P42" t="s">
        <v>53</v>
      </c>
      <c r="Q42" t="s">
        <v>190</v>
      </c>
      <c r="R42" t="s">
        <v>191</v>
      </c>
      <c r="S42" t="s">
        <v>42</v>
      </c>
      <c r="T42" t="s">
        <v>42</v>
      </c>
      <c r="U42" t="s">
        <v>186</v>
      </c>
      <c r="V42" t="s">
        <v>44</v>
      </c>
      <c r="W42" t="s">
        <v>186</v>
      </c>
      <c r="X42" t="s">
        <v>45</v>
      </c>
      <c r="Y42" t="s">
        <v>186</v>
      </c>
      <c r="Z42" t="s">
        <v>47</v>
      </c>
      <c r="AA42"/>
      <c r="AB42"/>
      <c r="AC42"/>
      <c r="AD42"/>
    </row>
    <row r="43" spans="1:30">
      <c r="A43">
        <v>2110060454</v>
      </c>
      <c r="B43" t="s">
        <v>30</v>
      </c>
      <c r="C43" t="s">
        <v>31</v>
      </c>
      <c r="D43" t="s">
        <v>32</v>
      </c>
      <c r="E43" t="s">
        <v>187</v>
      </c>
      <c r="F43" t="s">
        <v>188</v>
      </c>
      <c r="G43" t="s">
        <v>192</v>
      </c>
      <c r="H43" t="s">
        <v>50</v>
      </c>
      <c r="I43" t="s">
        <v>64</v>
      </c>
      <c r="J43" t="s">
        <v>59</v>
      </c>
      <c r="K43" t="str">
        <f>"na"</f>
        <v>0</v>
      </c>
      <c r="L43">
        <v>85000</v>
      </c>
      <c r="M43"/>
      <c r="N43" t="s">
        <v>38</v>
      </c>
      <c r="O43" t="s">
        <v>38</v>
      </c>
      <c r="P43" t="s">
        <v>53</v>
      </c>
      <c r="Q43" t="s">
        <v>190</v>
      </c>
      <c r="R43" t="s">
        <v>191</v>
      </c>
      <c r="S43" t="s">
        <v>42</v>
      </c>
      <c r="T43" t="s">
        <v>42</v>
      </c>
      <c r="U43" t="s">
        <v>186</v>
      </c>
      <c r="V43" t="s">
        <v>44</v>
      </c>
      <c r="W43" t="s">
        <v>186</v>
      </c>
      <c r="X43" t="s">
        <v>45</v>
      </c>
      <c r="Y43" t="s">
        <v>186</v>
      </c>
      <c r="Z43" t="s">
        <v>47</v>
      </c>
      <c r="AA43"/>
      <c r="AB43"/>
      <c r="AC43"/>
      <c r="AD43"/>
    </row>
    <row r="44" spans="1:30">
      <c r="A44">
        <v>2110060455</v>
      </c>
      <c r="B44" t="s">
        <v>30</v>
      </c>
      <c r="C44" t="s">
        <v>31</v>
      </c>
      <c r="D44" t="s">
        <v>32</v>
      </c>
      <c r="E44" t="s">
        <v>187</v>
      </c>
      <c r="F44" t="s">
        <v>188</v>
      </c>
      <c r="G44" t="s">
        <v>193</v>
      </c>
      <c r="H44" t="s">
        <v>50</v>
      </c>
      <c r="I44" t="s">
        <v>64</v>
      </c>
      <c r="J44" t="s">
        <v>59</v>
      </c>
      <c r="K44" t="str">
        <f>"na"</f>
        <v>0</v>
      </c>
      <c r="L44">
        <v>10000</v>
      </c>
      <c r="M44"/>
      <c r="N44" t="s">
        <v>38</v>
      </c>
      <c r="O44" t="s">
        <v>38</v>
      </c>
      <c r="P44" t="s">
        <v>53</v>
      </c>
      <c r="Q44" t="s">
        <v>190</v>
      </c>
      <c r="R44" t="s">
        <v>191</v>
      </c>
      <c r="S44" t="s">
        <v>42</v>
      </c>
      <c r="T44" t="s">
        <v>42</v>
      </c>
      <c r="U44" t="s">
        <v>186</v>
      </c>
      <c r="V44" t="s">
        <v>44</v>
      </c>
      <c r="W44" t="s">
        <v>186</v>
      </c>
      <c r="X44" t="s">
        <v>45</v>
      </c>
      <c r="Y44" t="s">
        <v>186</v>
      </c>
      <c r="Z44" t="s">
        <v>47</v>
      </c>
      <c r="AA44"/>
      <c r="AB44"/>
      <c r="AC44"/>
      <c r="AD44"/>
    </row>
    <row r="45" spans="1:30">
      <c r="A45">
        <v>2110060456</v>
      </c>
      <c r="B45" t="s">
        <v>30</v>
      </c>
      <c r="C45" t="s">
        <v>31</v>
      </c>
      <c r="D45" t="s">
        <v>32</v>
      </c>
      <c r="E45" t="s">
        <v>55</v>
      </c>
      <c r="F45" t="s">
        <v>194</v>
      </c>
      <c r="G45" t="s">
        <v>195</v>
      </c>
      <c r="H45" t="s">
        <v>50</v>
      </c>
      <c r="I45" t="s">
        <v>196</v>
      </c>
      <c r="J45" t="s">
        <v>197</v>
      </c>
      <c r="K45" t="str">
        <f>"015911"</f>
        <v>0</v>
      </c>
      <c r="L45">
        <v>51700</v>
      </c>
      <c r="M45"/>
      <c r="N45" t="s">
        <v>38</v>
      </c>
      <c r="O45" t="s">
        <v>38</v>
      </c>
      <c r="P45" t="s">
        <v>53</v>
      </c>
      <c r="Q45" t="s">
        <v>38</v>
      </c>
      <c r="R45" t="s">
        <v>38</v>
      </c>
      <c r="S45" t="s">
        <v>42</v>
      </c>
      <c r="T45" t="s">
        <v>42</v>
      </c>
      <c r="U45" t="s">
        <v>186</v>
      </c>
      <c r="V45" t="s">
        <v>44</v>
      </c>
      <c r="W45" t="s">
        <v>186</v>
      </c>
      <c r="X45" t="s">
        <v>45</v>
      </c>
      <c r="Y45" t="s">
        <v>186</v>
      </c>
      <c r="Z45" t="s">
        <v>47</v>
      </c>
      <c r="AA45"/>
      <c r="AB45"/>
      <c r="AC45"/>
      <c r="AD45"/>
    </row>
    <row r="46" spans="1:30">
      <c r="A46">
        <v>2110060457</v>
      </c>
      <c r="B46" t="s">
        <v>30</v>
      </c>
      <c r="C46" t="s">
        <v>31</v>
      </c>
      <c r="D46" t="s">
        <v>32</v>
      </c>
      <c r="E46" t="s">
        <v>198</v>
      </c>
      <c r="F46" t="s">
        <v>48</v>
      </c>
      <c r="G46" t="s">
        <v>199</v>
      </c>
      <c r="H46" t="s">
        <v>50</v>
      </c>
      <c r="I46" t="s">
        <v>200</v>
      </c>
      <c r="J46" t="s">
        <v>201</v>
      </c>
      <c r="K46" t="str">
        <f>"G-156849"</f>
        <v>0</v>
      </c>
      <c r="L46">
        <v>102400</v>
      </c>
      <c r="M46"/>
      <c r="N46" t="s">
        <v>38</v>
      </c>
      <c r="O46" t="s">
        <v>38</v>
      </c>
      <c r="P46" t="s">
        <v>53</v>
      </c>
      <c r="Q46" t="s">
        <v>38</v>
      </c>
      <c r="R46" t="s">
        <v>38</v>
      </c>
      <c r="S46" t="s">
        <v>42</v>
      </c>
      <c r="T46" t="s">
        <v>42</v>
      </c>
      <c r="U46" t="s">
        <v>186</v>
      </c>
      <c r="V46" t="s">
        <v>44</v>
      </c>
      <c r="W46" t="s">
        <v>186</v>
      </c>
      <c r="X46" t="s">
        <v>45</v>
      </c>
      <c r="Y46" t="s">
        <v>186</v>
      </c>
      <c r="Z46" t="s">
        <v>47</v>
      </c>
      <c r="AA46"/>
      <c r="AB46"/>
      <c r="AC46"/>
      <c r="AD46"/>
    </row>
    <row r="47" spans="1:30">
      <c r="A47">
        <v>2110060458</v>
      </c>
      <c r="B47" t="s">
        <v>30</v>
      </c>
      <c r="C47" t="s">
        <v>31</v>
      </c>
      <c r="D47" t="s">
        <v>32</v>
      </c>
      <c r="E47" t="s">
        <v>198</v>
      </c>
      <c r="F47" t="s">
        <v>48</v>
      </c>
      <c r="G47" t="s">
        <v>199</v>
      </c>
      <c r="H47" t="s">
        <v>50</v>
      </c>
      <c r="I47" t="s">
        <v>200</v>
      </c>
      <c r="J47" t="s">
        <v>202</v>
      </c>
      <c r="K47" t="str">
        <f>"na"</f>
        <v>0</v>
      </c>
      <c r="L47">
        <v>102400</v>
      </c>
      <c r="M47"/>
      <c r="N47" t="s">
        <v>38</v>
      </c>
      <c r="O47" t="s">
        <v>38</v>
      </c>
      <c r="P47" t="s">
        <v>53</v>
      </c>
      <c r="Q47" t="s">
        <v>38</v>
      </c>
      <c r="R47" t="s">
        <v>38</v>
      </c>
      <c r="S47" t="s">
        <v>42</v>
      </c>
      <c r="T47" t="s">
        <v>42</v>
      </c>
      <c r="U47" t="s">
        <v>186</v>
      </c>
      <c r="V47" t="s">
        <v>44</v>
      </c>
      <c r="W47" t="s">
        <v>186</v>
      </c>
      <c r="X47" t="s">
        <v>45</v>
      </c>
      <c r="Y47" t="s">
        <v>186</v>
      </c>
      <c r="Z47" t="s">
        <v>47</v>
      </c>
      <c r="AA47"/>
      <c r="AB47"/>
      <c r="AC47"/>
      <c r="AD47"/>
    </row>
    <row r="48" spans="1:30">
      <c r="A48">
        <v>2110060459</v>
      </c>
      <c r="B48" t="s">
        <v>30</v>
      </c>
      <c r="C48" t="s">
        <v>31</v>
      </c>
      <c r="D48" t="s">
        <v>32</v>
      </c>
      <c r="E48" t="s">
        <v>198</v>
      </c>
      <c r="F48" t="s">
        <v>48</v>
      </c>
      <c r="G48" t="s">
        <v>203</v>
      </c>
      <c r="H48" t="s">
        <v>50</v>
      </c>
      <c r="I48" t="s">
        <v>204</v>
      </c>
      <c r="J48" t="s">
        <v>205</v>
      </c>
      <c r="K48" t="str">
        <f>"qg045038"</f>
        <v>0</v>
      </c>
      <c r="L48">
        <v>53454</v>
      </c>
      <c r="M48"/>
      <c r="N48" t="s">
        <v>38</v>
      </c>
      <c r="O48" t="s">
        <v>38</v>
      </c>
      <c r="P48" t="s">
        <v>53</v>
      </c>
      <c r="Q48" t="s">
        <v>38</v>
      </c>
      <c r="R48" t="s">
        <v>38</v>
      </c>
      <c r="S48" t="s">
        <v>42</v>
      </c>
      <c r="T48" t="s">
        <v>42</v>
      </c>
      <c r="U48" t="s">
        <v>186</v>
      </c>
      <c r="V48" t="s">
        <v>44</v>
      </c>
      <c r="W48" t="s">
        <v>186</v>
      </c>
      <c r="X48" t="s">
        <v>45</v>
      </c>
      <c r="Y48" t="s">
        <v>186</v>
      </c>
      <c r="Z48" t="s">
        <v>47</v>
      </c>
      <c r="AA48"/>
      <c r="AB48"/>
      <c r="AC48"/>
      <c r="AD48"/>
    </row>
    <row r="49" spans="1:30">
      <c r="A49">
        <v>2110060460</v>
      </c>
      <c r="B49" t="s">
        <v>30</v>
      </c>
      <c r="C49" t="s">
        <v>31</v>
      </c>
      <c r="D49" t="s">
        <v>32</v>
      </c>
      <c r="E49" t="s">
        <v>198</v>
      </c>
      <c r="F49" t="s">
        <v>48</v>
      </c>
      <c r="G49" t="s">
        <v>203</v>
      </c>
      <c r="H49" t="s">
        <v>50</v>
      </c>
      <c r="I49" t="s">
        <v>204</v>
      </c>
      <c r="J49" t="s">
        <v>205</v>
      </c>
      <c r="K49" t="str">
        <f>"qg045049"</f>
        <v>0</v>
      </c>
      <c r="L49">
        <v>53454</v>
      </c>
      <c r="M49"/>
      <c r="N49" t="s">
        <v>38</v>
      </c>
      <c r="O49" t="s">
        <v>38</v>
      </c>
      <c r="P49" t="s">
        <v>53</v>
      </c>
      <c r="Q49" t="s">
        <v>38</v>
      </c>
      <c r="R49" t="s">
        <v>38</v>
      </c>
      <c r="S49" t="s">
        <v>42</v>
      </c>
      <c r="T49" t="s">
        <v>42</v>
      </c>
      <c r="U49" t="s">
        <v>186</v>
      </c>
      <c r="V49" t="s">
        <v>44</v>
      </c>
      <c r="W49" t="s">
        <v>186</v>
      </c>
      <c r="X49" t="s">
        <v>45</v>
      </c>
      <c r="Y49" t="s">
        <v>186</v>
      </c>
      <c r="Z49" t="s">
        <v>47</v>
      </c>
      <c r="AA49"/>
      <c r="AB49"/>
      <c r="AC49"/>
      <c r="AD49"/>
    </row>
    <row r="50" spans="1:30">
      <c r="A50">
        <v>2110060461</v>
      </c>
      <c r="B50" t="s">
        <v>30</v>
      </c>
      <c r="C50" t="s">
        <v>31</v>
      </c>
      <c r="D50" t="s">
        <v>32</v>
      </c>
      <c r="E50" t="s">
        <v>198</v>
      </c>
      <c r="F50" t="s">
        <v>48</v>
      </c>
      <c r="G50" t="s">
        <v>203</v>
      </c>
      <c r="H50" t="s">
        <v>50</v>
      </c>
      <c r="I50" t="s">
        <v>204</v>
      </c>
      <c r="J50" t="s">
        <v>205</v>
      </c>
      <c r="K50" t="str">
        <f>"qg045045"</f>
        <v>0</v>
      </c>
      <c r="L50">
        <v>53454</v>
      </c>
      <c r="M50"/>
      <c r="N50" t="s">
        <v>38</v>
      </c>
      <c r="O50" t="s">
        <v>38</v>
      </c>
      <c r="P50" t="s">
        <v>53</v>
      </c>
      <c r="Q50" t="s">
        <v>38</v>
      </c>
      <c r="R50" t="s">
        <v>38</v>
      </c>
      <c r="S50" t="s">
        <v>42</v>
      </c>
      <c r="T50" t="s">
        <v>42</v>
      </c>
      <c r="U50" t="s">
        <v>186</v>
      </c>
      <c r="V50" t="s">
        <v>44</v>
      </c>
      <c r="W50" t="s">
        <v>186</v>
      </c>
      <c r="X50" t="s">
        <v>45</v>
      </c>
      <c r="Y50" t="s">
        <v>186</v>
      </c>
      <c r="Z50" t="s">
        <v>47</v>
      </c>
      <c r="AA50"/>
      <c r="AB50"/>
      <c r="AC50"/>
      <c r="AD50"/>
    </row>
    <row r="51" spans="1:30">
      <c r="A51">
        <v>3110090095</v>
      </c>
      <c r="B51" t="s">
        <v>30</v>
      </c>
      <c r="C51" t="s">
        <v>61</v>
      </c>
      <c r="D51" t="s">
        <v>133</v>
      </c>
      <c r="E51" t="s">
        <v>206</v>
      </c>
      <c r="F51" t="s">
        <v>64</v>
      </c>
      <c r="G51" t="s">
        <v>65</v>
      </c>
      <c r="H51" t="s">
        <v>50</v>
      </c>
      <c r="I51" t="s">
        <v>66</v>
      </c>
      <c r="J51" t="s">
        <v>207</v>
      </c>
      <c r="K51" t="str">
        <f>"na"</f>
        <v>0</v>
      </c>
      <c r="L51">
        <v>205357</v>
      </c>
      <c r="M51"/>
      <c r="N51" t="s">
        <v>38</v>
      </c>
      <c r="O51" t="s">
        <v>38</v>
      </c>
      <c r="P51" t="s">
        <v>53</v>
      </c>
      <c r="Q51" t="s">
        <v>38</v>
      </c>
      <c r="R51" t="s">
        <v>38</v>
      </c>
      <c r="S51" t="s">
        <v>42</v>
      </c>
      <c r="T51" t="s">
        <v>42</v>
      </c>
      <c r="U51" t="s">
        <v>208</v>
      </c>
      <c r="V51" t="s">
        <v>44</v>
      </c>
      <c r="W51" t="s">
        <v>208</v>
      </c>
      <c r="X51" t="s">
        <v>45</v>
      </c>
      <c r="Y51" t="s">
        <v>209</v>
      </c>
      <c r="Z51" t="s">
        <v>47</v>
      </c>
      <c r="AA51"/>
      <c r="AB51"/>
      <c r="AC51"/>
      <c r="AD51"/>
    </row>
    <row r="52" spans="1:30">
      <c r="A52">
        <v>4110050053</v>
      </c>
      <c r="B52" t="s">
        <v>30</v>
      </c>
      <c r="C52" t="s">
        <v>88</v>
      </c>
      <c r="D52" t="s">
        <v>165</v>
      </c>
      <c r="E52" t="s">
        <v>210</v>
      </c>
      <c r="F52" t="s">
        <v>166</v>
      </c>
      <c r="G52" t="s">
        <v>167</v>
      </c>
      <c r="H52" t="s">
        <v>35</v>
      </c>
      <c r="I52" t="s">
        <v>211</v>
      </c>
      <c r="J52" t="s">
        <v>212</v>
      </c>
      <c r="K52" t="str">
        <f>"in2877"</f>
        <v>0</v>
      </c>
      <c r="L52">
        <v>65000</v>
      </c>
      <c r="M52"/>
      <c r="N52" t="s">
        <v>38</v>
      </c>
      <c r="O52" t="s">
        <v>38</v>
      </c>
      <c r="P52" t="s">
        <v>53</v>
      </c>
      <c r="Q52" t="s">
        <v>38</v>
      </c>
      <c r="R52" t="s">
        <v>38</v>
      </c>
      <c r="S52" t="s">
        <v>42</v>
      </c>
      <c r="T52" t="s">
        <v>42</v>
      </c>
      <c r="U52" t="s">
        <v>213</v>
      </c>
      <c r="V52" t="s">
        <v>44</v>
      </c>
      <c r="W52" t="s">
        <v>213</v>
      </c>
      <c r="X52" t="s">
        <v>45</v>
      </c>
      <c r="Y52" t="s">
        <v>214</v>
      </c>
      <c r="Z52" t="s">
        <v>47</v>
      </c>
      <c r="AA52"/>
      <c r="AB52"/>
      <c r="AC52"/>
      <c r="AD52"/>
    </row>
    <row r="53" spans="1:30">
      <c r="A53">
        <v>2110060451</v>
      </c>
      <c r="B53" t="s">
        <v>30</v>
      </c>
      <c r="C53" t="s">
        <v>31</v>
      </c>
      <c r="D53" t="s">
        <v>32</v>
      </c>
      <c r="E53" t="s">
        <v>215</v>
      </c>
      <c r="F53" t="s">
        <v>90</v>
      </c>
      <c r="G53" t="s">
        <v>216</v>
      </c>
      <c r="H53" t="s">
        <v>50</v>
      </c>
      <c r="I53" t="s">
        <v>217</v>
      </c>
      <c r="J53" t="s">
        <v>218</v>
      </c>
      <c r="K53" t="str">
        <f>"23M0459"</f>
        <v>0</v>
      </c>
      <c r="L53">
        <v>79000</v>
      </c>
      <c r="M53"/>
      <c r="N53" t="s">
        <v>38</v>
      </c>
      <c r="O53" t="s">
        <v>38</v>
      </c>
      <c r="P53" t="s">
        <v>39</v>
      </c>
      <c r="Q53" t="s">
        <v>219</v>
      </c>
      <c r="R53" t="s">
        <v>220</v>
      </c>
      <c r="S53" t="s">
        <v>42</v>
      </c>
      <c r="T53" t="s">
        <v>42</v>
      </c>
      <c r="U53" t="s">
        <v>213</v>
      </c>
      <c r="V53" t="s">
        <v>44</v>
      </c>
      <c r="W53" t="s">
        <v>213</v>
      </c>
      <c r="X53" t="s">
        <v>45</v>
      </c>
      <c r="Y53" t="s">
        <v>221</v>
      </c>
      <c r="Z53" t="s">
        <v>47</v>
      </c>
      <c r="AA53"/>
      <c r="AB53"/>
      <c r="AC53"/>
      <c r="AD53"/>
    </row>
    <row r="54" spans="1:30">
      <c r="A54">
        <v>4110040072</v>
      </c>
      <c r="B54" t="s">
        <v>30</v>
      </c>
      <c r="C54" t="s">
        <v>88</v>
      </c>
      <c r="D54" t="s">
        <v>222</v>
      </c>
      <c r="E54" t="s">
        <v>112</v>
      </c>
      <c r="F54" t="s">
        <v>64</v>
      </c>
      <c r="G54" t="s">
        <v>99</v>
      </c>
      <c r="H54" t="s">
        <v>50</v>
      </c>
      <c r="I54" t="s">
        <v>102</v>
      </c>
      <c r="J54" t="s">
        <v>223</v>
      </c>
      <c r="K54" t="str">
        <f>"561061"</f>
        <v>0</v>
      </c>
      <c r="L54">
        <v>77650</v>
      </c>
      <c r="M54"/>
      <c r="N54" t="s">
        <v>38</v>
      </c>
      <c r="O54" t="s">
        <v>38</v>
      </c>
      <c r="P54" t="s">
        <v>53</v>
      </c>
      <c r="Q54" t="s">
        <v>38</v>
      </c>
      <c r="R54" t="s">
        <v>38</v>
      </c>
      <c r="S54" t="s">
        <v>42</v>
      </c>
      <c r="T54" t="s">
        <v>42</v>
      </c>
      <c r="U54" t="s">
        <v>224</v>
      </c>
      <c r="V54" t="s">
        <v>225</v>
      </c>
      <c r="W54" t="s">
        <v>224</v>
      </c>
      <c r="X54" t="s">
        <v>45</v>
      </c>
      <c r="Y54" t="s">
        <v>226</v>
      </c>
      <c r="Z54" t="s">
        <v>47</v>
      </c>
      <c r="AA54"/>
      <c r="AB54"/>
      <c r="AC54"/>
      <c r="AD54"/>
    </row>
    <row r="55" spans="1:30">
      <c r="A55">
        <v>4110040048</v>
      </c>
      <c r="B55" t="s">
        <v>30</v>
      </c>
      <c r="C55" t="s">
        <v>88</v>
      </c>
      <c r="D55" t="s">
        <v>222</v>
      </c>
      <c r="E55" t="s">
        <v>112</v>
      </c>
      <c r="F55" t="s">
        <v>64</v>
      </c>
      <c r="G55" t="s">
        <v>99</v>
      </c>
      <c r="H55" t="s">
        <v>50</v>
      </c>
      <c r="I55" t="s">
        <v>102</v>
      </c>
      <c r="J55" t="s">
        <v>223</v>
      </c>
      <c r="K55" t="str">
        <f>"561061"</f>
        <v>0</v>
      </c>
      <c r="L55">
        <v>77650</v>
      </c>
      <c r="M55"/>
      <c r="N55" t="s">
        <v>38</v>
      </c>
      <c r="O55" t="s">
        <v>38</v>
      </c>
      <c r="P55" t="s">
        <v>53</v>
      </c>
      <c r="Q55" t="s">
        <v>38</v>
      </c>
      <c r="R55" t="s">
        <v>38</v>
      </c>
      <c r="S55" t="s">
        <v>42</v>
      </c>
      <c r="T55" t="s">
        <v>42</v>
      </c>
      <c r="U55" t="s">
        <v>224</v>
      </c>
      <c r="V55" t="s">
        <v>225</v>
      </c>
      <c r="W55" t="s">
        <v>224</v>
      </c>
      <c r="X55" t="s">
        <v>45</v>
      </c>
      <c r="Y55" t="s">
        <v>226</v>
      </c>
      <c r="Z55" t="s">
        <v>47</v>
      </c>
      <c r="AA55"/>
      <c r="AB55"/>
      <c r="AC55"/>
      <c r="AD55"/>
    </row>
    <row r="56" spans="1:30">
      <c r="A56">
        <v>4110040049</v>
      </c>
      <c r="B56" t="s">
        <v>30</v>
      </c>
      <c r="C56" t="s">
        <v>88</v>
      </c>
      <c r="D56" t="s">
        <v>222</v>
      </c>
      <c r="E56" t="s">
        <v>112</v>
      </c>
      <c r="F56" t="s">
        <v>64</v>
      </c>
      <c r="G56" t="s">
        <v>99</v>
      </c>
      <c r="H56" t="s">
        <v>50</v>
      </c>
      <c r="I56" t="s">
        <v>102</v>
      </c>
      <c r="J56" t="s">
        <v>223</v>
      </c>
      <c r="K56" t="str">
        <f>"561171"</f>
        <v>0</v>
      </c>
      <c r="L56">
        <v>77650</v>
      </c>
      <c r="M56"/>
      <c r="N56" t="s">
        <v>38</v>
      </c>
      <c r="O56" t="s">
        <v>38</v>
      </c>
      <c r="P56" t="s">
        <v>53</v>
      </c>
      <c r="Q56" t="s">
        <v>38</v>
      </c>
      <c r="R56" t="s">
        <v>38</v>
      </c>
      <c r="S56" t="s">
        <v>42</v>
      </c>
      <c r="T56" t="s">
        <v>42</v>
      </c>
      <c r="U56" t="s">
        <v>224</v>
      </c>
      <c r="V56" t="s">
        <v>225</v>
      </c>
      <c r="W56" t="s">
        <v>224</v>
      </c>
      <c r="X56" t="s">
        <v>45</v>
      </c>
      <c r="Y56" t="s">
        <v>226</v>
      </c>
      <c r="Z56" t="s">
        <v>47</v>
      </c>
      <c r="AA56"/>
      <c r="AB56"/>
      <c r="AC56"/>
      <c r="AD56"/>
    </row>
    <row r="57" spans="1:30">
      <c r="A57">
        <v>4110040050</v>
      </c>
      <c r="B57" t="s">
        <v>30</v>
      </c>
      <c r="C57" t="s">
        <v>88</v>
      </c>
      <c r="D57" t="s">
        <v>222</v>
      </c>
      <c r="E57" t="s">
        <v>112</v>
      </c>
      <c r="F57" t="s">
        <v>64</v>
      </c>
      <c r="G57" t="s">
        <v>99</v>
      </c>
      <c r="H57" t="s">
        <v>50</v>
      </c>
      <c r="I57" t="s">
        <v>227</v>
      </c>
      <c r="J57" t="s">
        <v>228</v>
      </c>
      <c r="K57" t="str">
        <f>"210624123"</f>
        <v>0</v>
      </c>
      <c r="L57">
        <v>38047</v>
      </c>
      <c r="M57"/>
      <c r="N57" t="s">
        <v>38</v>
      </c>
      <c r="O57" t="s">
        <v>38</v>
      </c>
      <c r="P57" t="s">
        <v>53</v>
      </c>
      <c r="Q57" t="s">
        <v>38</v>
      </c>
      <c r="R57" t="s">
        <v>38</v>
      </c>
      <c r="S57" t="s">
        <v>42</v>
      </c>
      <c r="T57" t="s">
        <v>42</v>
      </c>
      <c r="U57" t="s">
        <v>224</v>
      </c>
      <c r="V57" t="s">
        <v>225</v>
      </c>
      <c r="W57" t="s">
        <v>224</v>
      </c>
      <c r="X57" t="s">
        <v>45</v>
      </c>
      <c r="Y57" t="s">
        <v>226</v>
      </c>
      <c r="Z57" t="s">
        <v>47</v>
      </c>
      <c r="AA57"/>
      <c r="AB57"/>
      <c r="AC57"/>
      <c r="AD57"/>
    </row>
    <row r="58" spans="1:30">
      <c r="A58">
        <v>4110050054</v>
      </c>
      <c r="B58" t="s">
        <v>30</v>
      </c>
      <c r="C58" t="s">
        <v>88</v>
      </c>
      <c r="D58" t="s">
        <v>165</v>
      </c>
      <c r="E58" t="s">
        <v>210</v>
      </c>
      <c r="F58" t="s">
        <v>108</v>
      </c>
      <c r="G58" t="s">
        <v>109</v>
      </c>
      <c r="H58" t="s">
        <v>50</v>
      </c>
      <c r="I58" t="s">
        <v>100</v>
      </c>
      <c r="J58" t="s">
        <v>59</v>
      </c>
      <c r="K58" t="str">
        <f>"na"</f>
        <v>0</v>
      </c>
      <c r="L58">
        <v>10000</v>
      </c>
      <c r="M58"/>
      <c r="N58" t="s">
        <v>38</v>
      </c>
      <c r="O58" t="s">
        <v>38</v>
      </c>
      <c r="P58" t="s">
        <v>53</v>
      </c>
      <c r="Q58" t="s">
        <v>38</v>
      </c>
      <c r="R58" t="s">
        <v>38</v>
      </c>
      <c r="S58" t="s">
        <v>42</v>
      </c>
      <c r="T58" t="s">
        <v>42</v>
      </c>
      <c r="U58" t="s">
        <v>229</v>
      </c>
      <c r="V58" t="s">
        <v>44</v>
      </c>
      <c r="W58" t="s">
        <v>229</v>
      </c>
      <c r="X58" t="s">
        <v>45</v>
      </c>
      <c r="Y58" t="s">
        <v>214</v>
      </c>
      <c r="Z58" t="s">
        <v>47</v>
      </c>
      <c r="AA58"/>
      <c r="AB58"/>
      <c r="AC58"/>
      <c r="AD58"/>
    </row>
    <row r="59" spans="1:30">
      <c r="A59">
        <v>5110070027</v>
      </c>
      <c r="B59" t="s">
        <v>30</v>
      </c>
      <c r="C59" t="s">
        <v>230</v>
      </c>
      <c r="D59" t="s">
        <v>231</v>
      </c>
      <c r="E59" t="s">
        <v>79</v>
      </c>
      <c r="F59" t="s">
        <v>64</v>
      </c>
      <c r="G59" t="s">
        <v>99</v>
      </c>
      <c r="H59" t="s">
        <v>50</v>
      </c>
      <c r="I59" t="s">
        <v>102</v>
      </c>
      <c r="J59" t="s">
        <v>103</v>
      </c>
      <c r="K59" t="str">
        <f>"ma21050561047"</f>
        <v>0</v>
      </c>
      <c r="L59">
        <v>77650</v>
      </c>
      <c r="M59"/>
      <c r="N59" t="s">
        <v>38</v>
      </c>
      <c r="O59" t="s">
        <v>38</v>
      </c>
      <c r="P59" t="s">
        <v>53</v>
      </c>
      <c r="Q59" t="s">
        <v>38</v>
      </c>
      <c r="R59" t="s">
        <v>38</v>
      </c>
      <c r="S59" t="s">
        <v>42</v>
      </c>
      <c r="T59" t="s">
        <v>42</v>
      </c>
      <c r="U59" t="s">
        <v>122</v>
      </c>
      <c r="V59" t="s">
        <v>44</v>
      </c>
      <c r="W59" t="s">
        <v>122</v>
      </c>
      <c r="X59" t="s">
        <v>45</v>
      </c>
      <c r="Y59" t="s">
        <v>232</v>
      </c>
      <c r="Z59" t="s">
        <v>47</v>
      </c>
      <c r="AA59"/>
      <c r="AB59"/>
      <c r="AC59"/>
      <c r="AD59"/>
    </row>
    <row r="60" spans="1:30">
      <c r="A60">
        <v>2110060442</v>
      </c>
      <c r="B60" t="s">
        <v>30</v>
      </c>
      <c r="C60" t="s">
        <v>31</v>
      </c>
      <c r="D60" t="s">
        <v>32</v>
      </c>
      <c r="E60" t="s">
        <v>118</v>
      </c>
      <c r="F60" t="s">
        <v>48</v>
      </c>
      <c r="G60" t="s">
        <v>119</v>
      </c>
      <c r="H60" t="s">
        <v>50</v>
      </c>
      <c r="I60" t="s">
        <v>173</v>
      </c>
      <c r="J60" t="s">
        <v>233</v>
      </c>
      <c r="K60" t="str">
        <f>"zjeb 15003"</f>
        <v>0</v>
      </c>
      <c r="L60">
        <v>102000</v>
      </c>
      <c r="M60"/>
      <c r="N60" t="s">
        <v>38</v>
      </c>
      <c r="O60" t="s">
        <v>38</v>
      </c>
      <c r="P60" t="s">
        <v>53</v>
      </c>
      <c r="Q60" t="s">
        <v>234</v>
      </c>
      <c r="R60" t="s">
        <v>235</v>
      </c>
      <c r="S60" t="s">
        <v>42</v>
      </c>
      <c r="T60" t="s">
        <v>42</v>
      </c>
      <c r="U60" t="s">
        <v>122</v>
      </c>
      <c r="V60" t="s">
        <v>44</v>
      </c>
      <c r="W60" t="s">
        <v>122</v>
      </c>
      <c r="X60" t="s">
        <v>45</v>
      </c>
      <c r="Y60" t="s">
        <v>236</v>
      </c>
      <c r="Z60" t="s">
        <v>47</v>
      </c>
      <c r="AA60"/>
      <c r="AB60"/>
      <c r="AC60"/>
      <c r="AD60"/>
    </row>
    <row r="61" spans="1:30">
      <c r="A61">
        <v>2110060441</v>
      </c>
      <c r="B61" t="s">
        <v>30</v>
      </c>
      <c r="C61" t="s">
        <v>31</v>
      </c>
      <c r="D61" t="s">
        <v>32</v>
      </c>
      <c r="E61" t="s">
        <v>118</v>
      </c>
      <c r="F61" t="s">
        <v>48</v>
      </c>
      <c r="G61" t="s">
        <v>119</v>
      </c>
      <c r="H61" t="s">
        <v>50</v>
      </c>
      <c r="I61" t="s">
        <v>173</v>
      </c>
      <c r="J61" t="s">
        <v>233</v>
      </c>
      <c r="K61" t="str">
        <f>"zjeb 15002"</f>
        <v>0</v>
      </c>
      <c r="L61">
        <v>102000</v>
      </c>
      <c r="M61"/>
      <c r="N61" t="s">
        <v>38</v>
      </c>
      <c r="O61" t="s">
        <v>38</v>
      </c>
      <c r="P61" t="s">
        <v>53</v>
      </c>
      <c r="Q61" t="s">
        <v>234</v>
      </c>
      <c r="R61" t="s">
        <v>235</v>
      </c>
      <c r="S61" t="s">
        <v>42</v>
      </c>
      <c r="T61" t="s">
        <v>42</v>
      </c>
      <c r="U61" t="s">
        <v>122</v>
      </c>
      <c r="V61" t="s">
        <v>44</v>
      </c>
      <c r="W61" t="s">
        <v>122</v>
      </c>
      <c r="X61" t="s">
        <v>45</v>
      </c>
      <c r="Y61" t="s">
        <v>236</v>
      </c>
      <c r="Z61" t="s">
        <v>47</v>
      </c>
      <c r="AA61"/>
      <c r="AB61"/>
      <c r="AC61"/>
      <c r="AD61"/>
    </row>
    <row r="62" spans="1:30">
      <c r="A62">
        <v>2110060440</v>
      </c>
      <c r="B62" t="s">
        <v>30</v>
      </c>
      <c r="C62" t="s">
        <v>31</v>
      </c>
      <c r="D62" t="s">
        <v>32</v>
      </c>
      <c r="E62" t="s">
        <v>118</v>
      </c>
      <c r="F62" t="s">
        <v>48</v>
      </c>
      <c r="G62" t="s">
        <v>119</v>
      </c>
      <c r="H62" t="s">
        <v>50</v>
      </c>
      <c r="I62" t="s">
        <v>173</v>
      </c>
      <c r="J62" t="s">
        <v>233</v>
      </c>
      <c r="K62" t="str">
        <f>"zjeb 15001"</f>
        <v>0</v>
      </c>
      <c r="L62">
        <v>102000</v>
      </c>
      <c r="M62"/>
      <c r="N62" t="s">
        <v>38</v>
      </c>
      <c r="O62" t="s">
        <v>38</v>
      </c>
      <c r="P62" t="s">
        <v>53</v>
      </c>
      <c r="Q62" t="s">
        <v>234</v>
      </c>
      <c r="R62" t="s">
        <v>235</v>
      </c>
      <c r="S62" t="s">
        <v>42</v>
      </c>
      <c r="T62" t="s">
        <v>42</v>
      </c>
      <c r="U62" t="s">
        <v>122</v>
      </c>
      <c r="V62" t="s">
        <v>44</v>
      </c>
      <c r="W62" t="s">
        <v>122</v>
      </c>
      <c r="X62" t="s">
        <v>45</v>
      </c>
      <c r="Y62" t="s">
        <v>236</v>
      </c>
      <c r="Z62" t="s">
        <v>47</v>
      </c>
      <c r="AA62"/>
      <c r="AB62"/>
      <c r="AC62"/>
      <c r="AD62"/>
    </row>
    <row r="63" spans="1:30">
      <c r="A63">
        <v>2110060439</v>
      </c>
      <c r="B63" t="s">
        <v>30</v>
      </c>
      <c r="C63" t="s">
        <v>31</v>
      </c>
      <c r="D63" t="s">
        <v>32</v>
      </c>
      <c r="E63" t="s">
        <v>118</v>
      </c>
      <c r="F63" t="s">
        <v>48</v>
      </c>
      <c r="G63" t="s">
        <v>119</v>
      </c>
      <c r="H63" t="s">
        <v>50</v>
      </c>
      <c r="I63" t="s">
        <v>173</v>
      </c>
      <c r="J63" t="s">
        <v>233</v>
      </c>
      <c r="K63" t="str">
        <f>"zjeb 15000"</f>
        <v>0</v>
      </c>
      <c r="L63">
        <v>102000</v>
      </c>
      <c r="M63"/>
      <c r="N63" t="s">
        <v>38</v>
      </c>
      <c r="O63" t="s">
        <v>38</v>
      </c>
      <c r="P63" t="s">
        <v>39</v>
      </c>
      <c r="Q63" t="s">
        <v>234</v>
      </c>
      <c r="R63" t="s">
        <v>235</v>
      </c>
      <c r="S63" t="s">
        <v>42</v>
      </c>
      <c r="T63" t="s">
        <v>42</v>
      </c>
      <c r="U63" t="s">
        <v>122</v>
      </c>
      <c r="V63" t="s">
        <v>44</v>
      </c>
      <c r="W63" t="s">
        <v>122</v>
      </c>
      <c r="X63" t="s">
        <v>45</v>
      </c>
      <c r="Y63" t="s">
        <v>236</v>
      </c>
      <c r="Z63" t="s">
        <v>47</v>
      </c>
      <c r="AA63"/>
      <c r="AB63"/>
      <c r="AC63"/>
      <c r="AD63"/>
    </row>
    <row r="64" spans="1:30">
      <c r="A64">
        <v>2110060449</v>
      </c>
      <c r="B64" t="s">
        <v>30</v>
      </c>
      <c r="C64" t="s">
        <v>31</v>
      </c>
      <c r="D64" t="s">
        <v>32</v>
      </c>
      <c r="E64" t="s">
        <v>188</v>
      </c>
      <c r="F64" t="s">
        <v>188</v>
      </c>
      <c r="G64" t="s">
        <v>237</v>
      </c>
      <c r="H64" t="s">
        <v>50</v>
      </c>
      <c r="I64" t="s">
        <v>100</v>
      </c>
      <c r="J64" t="s">
        <v>238</v>
      </c>
      <c r="K64" t="str">
        <f>"na"</f>
        <v>0</v>
      </c>
      <c r="L64">
        <v>33075</v>
      </c>
      <c r="M64"/>
      <c r="N64" t="s">
        <v>38</v>
      </c>
      <c r="O64" t="s">
        <v>38</v>
      </c>
      <c r="P64" t="s">
        <v>53</v>
      </c>
      <c r="Q64" t="s">
        <v>239</v>
      </c>
      <c r="R64" t="s">
        <v>240</v>
      </c>
      <c r="S64" t="s">
        <v>42</v>
      </c>
      <c r="T64" t="s">
        <v>42</v>
      </c>
      <c r="U64" t="s">
        <v>122</v>
      </c>
      <c r="V64" t="s">
        <v>44</v>
      </c>
      <c r="W64" t="s">
        <v>122</v>
      </c>
      <c r="X64" t="s">
        <v>45</v>
      </c>
      <c r="Y64" t="s">
        <v>241</v>
      </c>
      <c r="Z64" t="s">
        <v>47</v>
      </c>
      <c r="AA64"/>
      <c r="AB64"/>
      <c r="AC64"/>
      <c r="AD64"/>
    </row>
    <row r="65" spans="1:30">
      <c r="A65">
        <v>2110060448</v>
      </c>
      <c r="B65" t="s">
        <v>30</v>
      </c>
      <c r="C65" t="s">
        <v>31</v>
      </c>
      <c r="D65" t="s">
        <v>32</v>
      </c>
      <c r="E65" t="s">
        <v>188</v>
      </c>
      <c r="F65" t="s">
        <v>188</v>
      </c>
      <c r="G65" t="s">
        <v>242</v>
      </c>
      <c r="H65" t="s">
        <v>50</v>
      </c>
      <c r="I65" t="s">
        <v>100</v>
      </c>
      <c r="J65" t="s">
        <v>243</v>
      </c>
      <c r="K65" t="str">
        <f>"na"</f>
        <v>0</v>
      </c>
      <c r="L65">
        <v>65000</v>
      </c>
      <c r="M65"/>
      <c r="N65" t="s">
        <v>38</v>
      </c>
      <c r="O65" t="s">
        <v>38</v>
      </c>
      <c r="P65" t="s">
        <v>53</v>
      </c>
      <c r="Q65" t="s">
        <v>239</v>
      </c>
      <c r="R65" t="s">
        <v>240</v>
      </c>
      <c r="S65" t="s">
        <v>42</v>
      </c>
      <c r="T65" t="s">
        <v>42</v>
      </c>
      <c r="U65" t="s">
        <v>122</v>
      </c>
      <c r="V65" t="s">
        <v>44</v>
      </c>
      <c r="W65" t="s">
        <v>122</v>
      </c>
      <c r="X65" t="s">
        <v>45</v>
      </c>
      <c r="Y65" t="s">
        <v>241</v>
      </c>
      <c r="Z65" t="s">
        <v>47</v>
      </c>
      <c r="AA65"/>
      <c r="AB65"/>
      <c r="AC65"/>
      <c r="AD65"/>
    </row>
    <row r="66" spans="1:30">
      <c r="A66">
        <v>4110010047</v>
      </c>
      <c r="B66" t="s">
        <v>30</v>
      </c>
      <c r="C66" t="s">
        <v>88</v>
      </c>
      <c r="D66" t="s">
        <v>244</v>
      </c>
      <c r="E66" t="s">
        <v>245</v>
      </c>
      <c r="F66" t="s">
        <v>246</v>
      </c>
      <c r="G66" t="s">
        <v>247</v>
      </c>
      <c r="H66" t="s">
        <v>50</v>
      </c>
      <c r="I66" t="s">
        <v>168</v>
      </c>
      <c r="J66" t="s">
        <v>248</v>
      </c>
      <c r="K66" t="str">
        <f>"l19170925090"</f>
        <v>0</v>
      </c>
      <c r="L66">
        <v>34777</v>
      </c>
      <c r="M66"/>
      <c r="N66" t="s">
        <v>38</v>
      </c>
      <c r="O66" t="s">
        <v>38</v>
      </c>
      <c r="P66" t="s">
        <v>53</v>
      </c>
      <c r="Q66" t="s">
        <v>38</v>
      </c>
      <c r="R66" t="s">
        <v>38</v>
      </c>
      <c r="S66" t="s">
        <v>42</v>
      </c>
      <c r="T66" t="s">
        <v>42</v>
      </c>
      <c r="U66" t="s">
        <v>122</v>
      </c>
      <c r="V66" t="s">
        <v>44</v>
      </c>
      <c r="W66" t="s">
        <v>122</v>
      </c>
      <c r="X66" t="s">
        <v>45</v>
      </c>
      <c r="Y66" t="s">
        <v>249</v>
      </c>
      <c r="Z66" t="s">
        <v>47</v>
      </c>
      <c r="AA66"/>
      <c r="AB66"/>
      <c r="AC66"/>
      <c r="AD66"/>
    </row>
    <row r="67" spans="1:30">
      <c r="A67">
        <v>4110010046</v>
      </c>
      <c r="B67" t="s">
        <v>30</v>
      </c>
      <c r="C67" t="s">
        <v>88</v>
      </c>
      <c r="D67" t="s">
        <v>244</v>
      </c>
      <c r="E67" t="s">
        <v>245</v>
      </c>
      <c r="F67" t="s">
        <v>246</v>
      </c>
      <c r="G67" t="s">
        <v>247</v>
      </c>
      <c r="H67" t="s">
        <v>50</v>
      </c>
      <c r="I67" t="s">
        <v>168</v>
      </c>
      <c r="J67" t="s">
        <v>248</v>
      </c>
      <c r="K67" t="str">
        <f>"k1917926036"</f>
        <v>0</v>
      </c>
      <c r="L67">
        <v>34777</v>
      </c>
      <c r="M67"/>
      <c r="N67" t="s">
        <v>38</v>
      </c>
      <c r="O67" t="s">
        <v>38</v>
      </c>
      <c r="P67" t="s">
        <v>53</v>
      </c>
      <c r="Q67" t="s">
        <v>38</v>
      </c>
      <c r="R67" t="s">
        <v>38</v>
      </c>
      <c r="S67" t="s">
        <v>42</v>
      </c>
      <c r="T67" t="s">
        <v>42</v>
      </c>
      <c r="U67" t="s">
        <v>122</v>
      </c>
      <c r="V67" t="s">
        <v>44</v>
      </c>
      <c r="W67" t="s">
        <v>122</v>
      </c>
      <c r="X67" t="s">
        <v>45</v>
      </c>
      <c r="Y67" t="s">
        <v>249</v>
      </c>
      <c r="Z67" t="s">
        <v>47</v>
      </c>
      <c r="AA67"/>
      <c r="AB67"/>
      <c r="AC67"/>
      <c r="AD67"/>
    </row>
    <row r="68" spans="1:30">
      <c r="A68">
        <v>2110060450</v>
      </c>
      <c r="B68" t="s">
        <v>30</v>
      </c>
      <c r="C68" t="s">
        <v>31</v>
      </c>
      <c r="D68" t="s">
        <v>32</v>
      </c>
      <c r="E68" t="s">
        <v>188</v>
      </c>
      <c r="F68" t="s">
        <v>188</v>
      </c>
      <c r="G68" t="s">
        <v>250</v>
      </c>
      <c r="H68" t="s">
        <v>50</v>
      </c>
      <c r="I68" t="s">
        <v>64</v>
      </c>
      <c r="J68" t="s">
        <v>59</v>
      </c>
      <c r="K68" t="str">
        <f>"na"</f>
        <v>0</v>
      </c>
      <c r="L68">
        <v>30000</v>
      </c>
      <c r="M68"/>
      <c r="N68" t="s">
        <v>38</v>
      </c>
      <c r="O68" t="s">
        <v>38</v>
      </c>
      <c r="P68" t="s">
        <v>53</v>
      </c>
      <c r="Q68" t="s">
        <v>239</v>
      </c>
      <c r="R68" t="s">
        <v>240</v>
      </c>
      <c r="S68" t="s">
        <v>42</v>
      </c>
      <c r="T68" t="s">
        <v>42</v>
      </c>
      <c r="U68" t="s">
        <v>251</v>
      </c>
      <c r="V68" t="s">
        <v>44</v>
      </c>
      <c r="W68" t="s">
        <v>251</v>
      </c>
      <c r="X68" t="s">
        <v>45</v>
      </c>
      <c r="Y68" t="s">
        <v>241</v>
      </c>
      <c r="Z68" t="s">
        <v>47</v>
      </c>
      <c r="AA68"/>
      <c r="AB68"/>
      <c r="AC68"/>
      <c r="AD68"/>
    </row>
    <row r="69" spans="1:30">
      <c r="A69">
        <v>5110130010</v>
      </c>
      <c r="B69" t="s">
        <v>30</v>
      </c>
      <c r="C69" t="s">
        <v>230</v>
      </c>
      <c r="D69" t="s">
        <v>252</v>
      </c>
      <c r="E69" t="s">
        <v>253</v>
      </c>
      <c r="F69" t="s">
        <v>48</v>
      </c>
      <c r="G69" t="s">
        <v>136</v>
      </c>
      <c r="H69" t="s">
        <v>50</v>
      </c>
      <c r="I69" t="s">
        <v>254</v>
      </c>
      <c r="J69" t="s">
        <v>255</v>
      </c>
      <c r="K69" t="str">
        <f>"90409275"</f>
        <v>0</v>
      </c>
      <c r="L69">
        <v>350000</v>
      </c>
      <c r="M69"/>
      <c r="N69" t="s">
        <v>38</v>
      </c>
      <c r="O69" t="s">
        <v>38</v>
      </c>
      <c r="P69" t="s">
        <v>53</v>
      </c>
      <c r="Q69" t="s">
        <v>38</v>
      </c>
      <c r="R69" t="s">
        <v>38</v>
      </c>
      <c r="S69" t="s">
        <v>42</v>
      </c>
      <c r="T69" t="s">
        <v>42</v>
      </c>
      <c r="U69" t="s">
        <v>251</v>
      </c>
      <c r="V69" t="s">
        <v>45</v>
      </c>
      <c r="W69" t="s">
        <v>251</v>
      </c>
      <c r="X69" t="s">
        <v>45</v>
      </c>
      <c r="Y69" t="s">
        <v>256</v>
      </c>
      <c r="Z69" t="s">
        <v>47</v>
      </c>
      <c r="AA69"/>
      <c r="AB69"/>
      <c r="AC69"/>
      <c r="AD69"/>
    </row>
    <row r="70" spans="1:30">
      <c r="A70">
        <v>5110180010</v>
      </c>
      <c r="B70" t="s">
        <v>30</v>
      </c>
      <c r="C70" t="s">
        <v>230</v>
      </c>
      <c r="D70" t="s">
        <v>257</v>
      </c>
      <c r="E70" t="s">
        <v>253</v>
      </c>
      <c r="F70" t="s">
        <v>48</v>
      </c>
      <c r="G70" t="s">
        <v>136</v>
      </c>
      <c r="H70" t="s">
        <v>50</v>
      </c>
      <c r="I70" t="s">
        <v>254</v>
      </c>
      <c r="J70" t="s">
        <v>255</v>
      </c>
      <c r="K70" t="str">
        <f>"90409579"</f>
        <v>0</v>
      </c>
      <c r="L70">
        <v>350000</v>
      </c>
      <c r="M70"/>
      <c r="N70" t="s">
        <v>38</v>
      </c>
      <c r="O70" t="s">
        <v>38</v>
      </c>
      <c r="P70" t="s">
        <v>53</v>
      </c>
      <c r="Q70" t="s">
        <v>38</v>
      </c>
      <c r="R70" t="s">
        <v>38</v>
      </c>
      <c r="S70" t="s">
        <v>42</v>
      </c>
      <c r="T70" t="s">
        <v>42</v>
      </c>
      <c r="U70" t="s">
        <v>251</v>
      </c>
      <c r="V70" t="s">
        <v>45</v>
      </c>
      <c r="W70" t="s">
        <v>251</v>
      </c>
      <c r="X70" t="s">
        <v>45</v>
      </c>
      <c r="Y70" t="s">
        <v>256</v>
      </c>
      <c r="Z70" t="s">
        <v>47</v>
      </c>
      <c r="AA70"/>
      <c r="AB70"/>
      <c r="AC70"/>
      <c r="AD70"/>
    </row>
    <row r="71" spans="1:30">
      <c r="A71">
        <v>5110130008</v>
      </c>
      <c r="B71" t="s">
        <v>30</v>
      </c>
      <c r="C71" t="s">
        <v>230</v>
      </c>
      <c r="D71" t="s">
        <v>252</v>
      </c>
      <c r="E71" t="s">
        <v>253</v>
      </c>
      <c r="F71" t="s">
        <v>48</v>
      </c>
      <c r="G71" t="s">
        <v>136</v>
      </c>
      <c r="H71" t="s">
        <v>50</v>
      </c>
      <c r="I71" t="s">
        <v>258</v>
      </c>
      <c r="J71" t="s">
        <v>259</v>
      </c>
      <c r="K71" t="str">
        <f>"BE0581E0100B297F0025"</f>
        <v>0</v>
      </c>
      <c r="L71">
        <v>103449</v>
      </c>
      <c r="M71"/>
      <c r="N71" t="s">
        <v>38</v>
      </c>
      <c r="O71" t="s">
        <v>38</v>
      </c>
      <c r="P71" t="s">
        <v>53</v>
      </c>
      <c r="Q71" t="s">
        <v>38</v>
      </c>
      <c r="R71" t="s">
        <v>38</v>
      </c>
      <c r="S71" t="s">
        <v>42</v>
      </c>
      <c r="T71" t="s">
        <v>42</v>
      </c>
      <c r="U71" t="s">
        <v>251</v>
      </c>
      <c r="V71" t="s">
        <v>45</v>
      </c>
      <c r="W71" t="s">
        <v>251</v>
      </c>
      <c r="X71" t="s">
        <v>45</v>
      </c>
      <c r="Y71" t="s">
        <v>256</v>
      </c>
      <c r="Z71" t="s">
        <v>47</v>
      </c>
      <c r="AA71"/>
      <c r="AB71"/>
      <c r="AC71"/>
      <c r="AD71"/>
    </row>
    <row r="72" spans="1:30">
      <c r="A72">
        <v>5110180011</v>
      </c>
      <c r="B72" t="s">
        <v>30</v>
      </c>
      <c r="C72" t="s">
        <v>230</v>
      </c>
      <c r="D72" t="s">
        <v>257</v>
      </c>
      <c r="E72" t="s">
        <v>253</v>
      </c>
      <c r="F72" t="s">
        <v>48</v>
      </c>
      <c r="G72" t="s">
        <v>136</v>
      </c>
      <c r="H72" t="s">
        <v>50</v>
      </c>
      <c r="I72" t="s">
        <v>137</v>
      </c>
      <c r="J72" t="s">
        <v>260</v>
      </c>
      <c r="K72" t="str">
        <f>"201100031MR00965"</f>
        <v>0</v>
      </c>
      <c r="L72">
        <v>135589</v>
      </c>
      <c r="M72"/>
      <c r="N72" t="s">
        <v>38</v>
      </c>
      <c r="O72" t="s">
        <v>38</v>
      </c>
      <c r="P72" t="s">
        <v>53</v>
      </c>
      <c r="Q72" t="s">
        <v>38</v>
      </c>
      <c r="R72" t="s">
        <v>38</v>
      </c>
      <c r="S72" t="s">
        <v>42</v>
      </c>
      <c r="T72" t="s">
        <v>42</v>
      </c>
      <c r="U72" t="s">
        <v>251</v>
      </c>
      <c r="V72" t="s">
        <v>45</v>
      </c>
      <c r="W72" t="s">
        <v>251</v>
      </c>
      <c r="X72" t="s">
        <v>45</v>
      </c>
      <c r="Y72" t="s">
        <v>261</v>
      </c>
      <c r="Z72" t="s">
        <v>47</v>
      </c>
      <c r="AA72"/>
      <c r="AB72"/>
      <c r="AC72"/>
      <c r="AD72"/>
    </row>
    <row r="73" spans="1:30">
      <c r="A73">
        <v>4110010049</v>
      </c>
      <c r="B73" t="s">
        <v>30</v>
      </c>
      <c r="C73" t="s">
        <v>88</v>
      </c>
      <c r="D73" t="s">
        <v>244</v>
      </c>
      <c r="E73" t="s">
        <v>146</v>
      </c>
      <c r="F73" t="s">
        <v>147</v>
      </c>
      <c r="G73" t="s">
        <v>148</v>
      </c>
      <c r="H73" t="s">
        <v>35</v>
      </c>
      <c r="I73" t="s">
        <v>262</v>
      </c>
      <c r="J73" t="s">
        <v>263</v>
      </c>
      <c r="K73" t="str">
        <f>"2k1207521205-p"</f>
        <v>0</v>
      </c>
      <c r="L73">
        <v>24581</v>
      </c>
      <c r="M73"/>
      <c r="N73" t="s">
        <v>38</v>
      </c>
      <c r="O73" t="s">
        <v>38</v>
      </c>
      <c r="P73" t="s">
        <v>53</v>
      </c>
      <c r="Q73" t="s">
        <v>38</v>
      </c>
      <c r="R73" t="s">
        <v>38</v>
      </c>
      <c r="S73" t="s">
        <v>42</v>
      </c>
      <c r="T73" t="s">
        <v>42</v>
      </c>
      <c r="U73" t="s">
        <v>251</v>
      </c>
      <c r="V73" t="s">
        <v>44</v>
      </c>
      <c r="W73" t="s">
        <v>251</v>
      </c>
      <c r="X73" t="s">
        <v>45</v>
      </c>
      <c r="Y73" t="s">
        <v>249</v>
      </c>
      <c r="Z73" t="s">
        <v>47</v>
      </c>
      <c r="AA73"/>
      <c r="AB73"/>
      <c r="AC73"/>
      <c r="AD73"/>
    </row>
    <row r="74" spans="1:30">
      <c r="A74">
        <v>4110010048</v>
      </c>
      <c r="B74" t="s">
        <v>30</v>
      </c>
      <c r="C74" t="s">
        <v>88</v>
      </c>
      <c r="D74" t="s">
        <v>244</v>
      </c>
      <c r="E74" t="s">
        <v>264</v>
      </c>
      <c r="F74" t="s">
        <v>147</v>
      </c>
      <c r="G74" t="s">
        <v>148</v>
      </c>
      <c r="H74" t="s">
        <v>35</v>
      </c>
      <c r="I74" t="s">
        <v>149</v>
      </c>
      <c r="J74" t="s">
        <v>265</v>
      </c>
      <c r="K74" t="str">
        <f>"v301A1902179"</f>
        <v>0</v>
      </c>
      <c r="L74">
        <v>47952</v>
      </c>
      <c r="M74"/>
      <c r="N74" t="s">
        <v>38</v>
      </c>
      <c r="O74" t="s">
        <v>38</v>
      </c>
      <c r="P74" t="s">
        <v>53</v>
      </c>
      <c r="Q74" t="s">
        <v>38</v>
      </c>
      <c r="R74" t="s">
        <v>38</v>
      </c>
      <c r="S74" t="s">
        <v>266</v>
      </c>
      <c r="T74" t="s">
        <v>266</v>
      </c>
      <c r="U74" t="s">
        <v>251</v>
      </c>
      <c r="V74" t="s">
        <v>44</v>
      </c>
      <c r="W74" t="s">
        <v>251</v>
      </c>
      <c r="X74" t="s">
        <v>45</v>
      </c>
      <c r="Y74" t="s">
        <v>249</v>
      </c>
      <c r="Z74" t="s">
        <v>70</v>
      </c>
      <c r="AA74"/>
      <c r="AB74"/>
      <c r="AC74"/>
      <c r="AD74"/>
    </row>
    <row r="75" spans="1:30">
      <c r="A75">
        <v>2110060444</v>
      </c>
      <c r="B75" t="s">
        <v>30</v>
      </c>
      <c r="C75" t="s">
        <v>31</v>
      </c>
      <c r="D75" t="s">
        <v>32</v>
      </c>
      <c r="E75" t="s">
        <v>118</v>
      </c>
      <c r="F75" t="s">
        <v>118</v>
      </c>
      <c r="G75" t="s">
        <v>172</v>
      </c>
      <c r="H75" t="s">
        <v>50</v>
      </c>
      <c r="I75" t="s">
        <v>173</v>
      </c>
      <c r="J75" t="s">
        <v>267</v>
      </c>
      <c r="K75" t="str">
        <f>"zjet 16493"</f>
        <v>0</v>
      </c>
      <c r="L75">
        <v>125800</v>
      </c>
      <c r="M75"/>
      <c r="N75" t="s">
        <v>38</v>
      </c>
      <c r="O75" t="s">
        <v>38</v>
      </c>
      <c r="P75" t="s">
        <v>53</v>
      </c>
      <c r="Q75" t="s">
        <v>268</v>
      </c>
      <c r="R75" t="s">
        <v>269</v>
      </c>
      <c r="S75" t="s">
        <v>42</v>
      </c>
      <c r="T75" t="s">
        <v>42</v>
      </c>
      <c r="U75" t="s">
        <v>251</v>
      </c>
      <c r="V75" t="s">
        <v>44</v>
      </c>
      <c r="W75" t="s">
        <v>251</v>
      </c>
      <c r="X75" t="s">
        <v>45</v>
      </c>
      <c r="Y75" t="s">
        <v>270</v>
      </c>
      <c r="Z75" t="s">
        <v>47</v>
      </c>
      <c r="AA75"/>
      <c r="AB75"/>
      <c r="AC75"/>
      <c r="AD75"/>
    </row>
    <row r="76" spans="1:30">
      <c r="A76">
        <v>2110060445</v>
      </c>
      <c r="B76" t="s">
        <v>30</v>
      </c>
      <c r="C76" t="s">
        <v>31</v>
      </c>
      <c r="D76" t="s">
        <v>32</v>
      </c>
      <c r="E76" t="s">
        <v>118</v>
      </c>
      <c r="F76" t="s">
        <v>118</v>
      </c>
      <c r="G76" t="s">
        <v>172</v>
      </c>
      <c r="H76" t="s">
        <v>50</v>
      </c>
      <c r="I76" t="s">
        <v>173</v>
      </c>
      <c r="J76" t="s">
        <v>271</v>
      </c>
      <c r="K76" t="str">
        <f>"ZJET-16494"</f>
        <v>0</v>
      </c>
      <c r="L76">
        <v>125800</v>
      </c>
      <c r="M76"/>
      <c r="N76" t="s">
        <v>38</v>
      </c>
      <c r="O76" t="s">
        <v>38</v>
      </c>
      <c r="P76" t="s">
        <v>53</v>
      </c>
      <c r="Q76" t="s">
        <v>268</v>
      </c>
      <c r="R76" t="s">
        <v>269</v>
      </c>
      <c r="S76" t="s">
        <v>42</v>
      </c>
      <c r="T76" t="s">
        <v>42</v>
      </c>
      <c r="U76" t="s">
        <v>251</v>
      </c>
      <c r="V76" t="s">
        <v>44</v>
      </c>
      <c r="W76" t="s">
        <v>251</v>
      </c>
      <c r="X76" t="s">
        <v>45</v>
      </c>
      <c r="Y76" t="s">
        <v>270</v>
      </c>
      <c r="Z76" t="s">
        <v>47</v>
      </c>
      <c r="AA76"/>
      <c r="AB76"/>
      <c r="AC76"/>
      <c r="AD76"/>
    </row>
    <row r="77" spans="1:30">
      <c r="A77">
        <v>2110060446</v>
      </c>
      <c r="B77" t="s">
        <v>30</v>
      </c>
      <c r="C77" t="s">
        <v>31</v>
      </c>
      <c r="D77" t="s">
        <v>32</v>
      </c>
      <c r="E77" t="s">
        <v>118</v>
      </c>
      <c r="F77" t="s">
        <v>118</v>
      </c>
      <c r="G77" t="s">
        <v>172</v>
      </c>
      <c r="H77" t="s">
        <v>50</v>
      </c>
      <c r="I77" t="s">
        <v>173</v>
      </c>
      <c r="J77" t="s">
        <v>177</v>
      </c>
      <c r="K77" t="str">
        <f>"zjht26635"</f>
        <v>0</v>
      </c>
      <c r="L77">
        <v>125800</v>
      </c>
      <c r="M77"/>
      <c r="N77" t="s">
        <v>38</v>
      </c>
      <c r="O77" t="s">
        <v>38</v>
      </c>
      <c r="P77" t="s">
        <v>39</v>
      </c>
      <c r="Q77" t="s">
        <v>272</v>
      </c>
      <c r="R77" t="s">
        <v>273</v>
      </c>
      <c r="S77" t="s">
        <v>42</v>
      </c>
      <c r="T77" t="s">
        <v>42</v>
      </c>
      <c r="U77" t="s">
        <v>251</v>
      </c>
      <c r="V77" t="s">
        <v>44</v>
      </c>
      <c r="W77" t="s">
        <v>251</v>
      </c>
      <c r="X77" t="s">
        <v>45</v>
      </c>
      <c r="Y77" t="s">
        <v>270</v>
      </c>
      <c r="Z77" t="s">
        <v>47</v>
      </c>
      <c r="AA77"/>
      <c r="AB77"/>
      <c r="AC77"/>
      <c r="AD77"/>
    </row>
    <row r="78" spans="1:30">
      <c r="A78">
        <v>2110060447</v>
      </c>
      <c r="B78" t="s">
        <v>30</v>
      </c>
      <c r="C78" t="s">
        <v>31</v>
      </c>
      <c r="D78" t="s">
        <v>32</v>
      </c>
      <c r="E78" t="s">
        <v>118</v>
      </c>
      <c r="F78" t="s">
        <v>48</v>
      </c>
      <c r="G78" t="s">
        <v>274</v>
      </c>
      <c r="H78" t="s">
        <v>50</v>
      </c>
      <c r="I78" t="s">
        <v>173</v>
      </c>
      <c r="J78" t="s">
        <v>275</v>
      </c>
      <c r="K78" t="str">
        <f>"zjes15242"</f>
        <v>0</v>
      </c>
      <c r="L78">
        <v>102000</v>
      </c>
      <c r="M78"/>
      <c r="N78" t="s">
        <v>38</v>
      </c>
      <c r="O78" t="s">
        <v>38</v>
      </c>
      <c r="P78" t="s">
        <v>53</v>
      </c>
      <c r="Q78" t="s">
        <v>276</v>
      </c>
      <c r="R78" t="s">
        <v>277</v>
      </c>
      <c r="S78" t="s">
        <v>42</v>
      </c>
      <c r="T78" t="s">
        <v>42</v>
      </c>
      <c r="U78" t="s">
        <v>251</v>
      </c>
      <c r="V78" t="s">
        <v>44</v>
      </c>
      <c r="W78" t="s">
        <v>251</v>
      </c>
      <c r="X78" t="s">
        <v>45</v>
      </c>
      <c r="Y78" t="s">
        <v>270</v>
      </c>
      <c r="Z78" t="s">
        <v>47</v>
      </c>
      <c r="AA78"/>
      <c r="AB78"/>
      <c r="AC78"/>
      <c r="AD78"/>
    </row>
    <row r="79" spans="1:30">
      <c r="A79">
        <v>2110060443</v>
      </c>
      <c r="B79" t="s">
        <v>30</v>
      </c>
      <c r="C79" t="s">
        <v>31</v>
      </c>
      <c r="D79" t="s">
        <v>32</v>
      </c>
      <c r="E79" t="s">
        <v>118</v>
      </c>
      <c r="F79" t="s">
        <v>48</v>
      </c>
      <c r="G79" t="s">
        <v>203</v>
      </c>
      <c r="H79" t="s">
        <v>50</v>
      </c>
      <c r="I79" t="s">
        <v>173</v>
      </c>
      <c r="J79" t="s">
        <v>278</v>
      </c>
      <c r="K79" t="str">
        <f>"zjen 14271"</f>
        <v>0</v>
      </c>
      <c r="L79">
        <v>42000</v>
      </c>
      <c r="M79"/>
      <c r="N79" t="s">
        <v>38</v>
      </c>
      <c r="O79" t="s">
        <v>38</v>
      </c>
      <c r="P79" t="s">
        <v>53</v>
      </c>
      <c r="Q79" t="s">
        <v>234</v>
      </c>
      <c r="R79" t="s">
        <v>235</v>
      </c>
      <c r="S79" t="s">
        <v>42</v>
      </c>
      <c r="T79" t="s">
        <v>42</v>
      </c>
      <c r="U79" t="s">
        <v>279</v>
      </c>
      <c r="V79" t="s">
        <v>44</v>
      </c>
      <c r="W79" t="s">
        <v>279</v>
      </c>
      <c r="X79" t="s">
        <v>45</v>
      </c>
      <c r="Y79" t="s">
        <v>236</v>
      </c>
      <c r="Z79" t="s">
        <v>47</v>
      </c>
      <c r="AA79"/>
      <c r="AB79"/>
      <c r="AC79"/>
      <c r="AD79"/>
    </row>
    <row r="80" spans="1:30">
      <c r="A80">
        <v>5110130009</v>
      </c>
      <c r="B80" t="s">
        <v>30</v>
      </c>
      <c r="C80" t="s">
        <v>230</v>
      </c>
      <c r="D80" t="s">
        <v>252</v>
      </c>
      <c r="E80" t="s">
        <v>253</v>
      </c>
      <c r="F80" t="s">
        <v>48</v>
      </c>
      <c r="G80" t="s">
        <v>280</v>
      </c>
      <c r="H80" t="s">
        <v>50</v>
      </c>
      <c r="I80" t="s">
        <v>254</v>
      </c>
      <c r="J80" t="s">
        <v>281</v>
      </c>
      <c r="K80" t="str">
        <f>"84909158"</f>
        <v>0</v>
      </c>
      <c r="L80">
        <v>105340</v>
      </c>
      <c r="M80"/>
      <c r="N80" t="s">
        <v>38</v>
      </c>
      <c r="O80" t="s">
        <v>38</v>
      </c>
      <c r="P80" t="s">
        <v>53</v>
      </c>
      <c r="Q80" t="s">
        <v>38</v>
      </c>
      <c r="R80" t="s">
        <v>38</v>
      </c>
      <c r="S80" t="s">
        <v>42</v>
      </c>
      <c r="T80" t="s">
        <v>42</v>
      </c>
      <c r="U80" t="s">
        <v>279</v>
      </c>
      <c r="V80" t="s">
        <v>45</v>
      </c>
      <c r="W80" t="s">
        <v>279</v>
      </c>
      <c r="X80" t="s">
        <v>45</v>
      </c>
      <c r="Y80" t="s">
        <v>256</v>
      </c>
      <c r="Z80" t="s">
        <v>47</v>
      </c>
      <c r="AA80"/>
      <c r="AB80"/>
      <c r="AC80"/>
      <c r="AD80"/>
    </row>
    <row r="81" spans="1:30">
      <c r="A81">
        <v>5110130007</v>
      </c>
      <c r="B81" t="s">
        <v>30</v>
      </c>
      <c r="C81" t="s">
        <v>230</v>
      </c>
      <c r="D81" t="s">
        <v>252</v>
      </c>
      <c r="E81" t="s">
        <v>253</v>
      </c>
      <c r="F81" t="s">
        <v>48</v>
      </c>
      <c r="G81" t="s">
        <v>280</v>
      </c>
      <c r="H81" t="s">
        <v>50</v>
      </c>
      <c r="I81" t="s">
        <v>258</v>
      </c>
      <c r="J81" t="s">
        <v>282</v>
      </c>
      <c r="K81" t="str">
        <f>"BE04G4E2600B2ABL0168"</f>
        <v>0</v>
      </c>
      <c r="L81">
        <v>105340</v>
      </c>
      <c r="M81"/>
      <c r="N81" t="s">
        <v>38</v>
      </c>
      <c r="O81" t="s">
        <v>38</v>
      </c>
      <c r="P81" t="s">
        <v>53</v>
      </c>
      <c r="Q81" t="s">
        <v>38</v>
      </c>
      <c r="R81" t="s">
        <v>38</v>
      </c>
      <c r="S81" t="s">
        <v>42</v>
      </c>
      <c r="T81" t="s">
        <v>42</v>
      </c>
      <c r="U81" t="s">
        <v>279</v>
      </c>
      <c r="V81" t="s">
        <v>45</v>
      </c>
      <c r="W81" t="s">
        <v>279</v>
      </c>
      <c r="X81" t="s">
        <v>45</v>
      </c>
      <c r="Y81" t="s">
        <v>256</v>
      </c>
      <c r="Z81" t="s">
        <v>47</v>
      </c>
      <c r="AA81"/>
      <c r="AB81"/>
      <c r="AC81"/>
      <c r="AD81"/>
    </row>
    <row r="82" spans="1:30">
      <c r="A82">
        <v>5110180013</v>
      </c>
      <c r="B82" t="s">
        <v>30</v>
      </c>
      <c r="C82" t="s">
        <v>230</v>
      </c>
      <c r="D82" t="s">
        <v>257</v>
      </c>
      <c r="E82" t="s">
        <v>253</v>
      </c>
      <c r="F82" t="s">
        <v>48</v>
      </c>
      <c r="G82" t="s">
        <v>280</v>
      </c>
      <c r="H82" t="s">
        <v>50</v>
      </c>
      <c r="I82" t="s">
        <v>258</v>
      </c>
      <c r="J82" t="s">
        <v>282</v>
      </c>
      <c r="K82" t="str">
        <f>"BE04G4E2600B2ABH0081"</f>
        <v>0</v>
      </c>
      <c r="L82">
        <v>105340</v>
      </c>
      <c r="M82"/>
      <c r="N82" t="s">
        <v>38</v>
      </c>
      <c r="O82" t="s">
        <v>38</v>
      </c>
      <c r="P82" t="s">
        <v>53</v>
      </c>
      <c r="Q82" t="s">
        <v>38</v>
      </c>
      <c r="R82" t="s">
        <v>38</v>
      </c>
      <c r="S82" t="s">
        <v>42</v>
      </c>
      <c r="T82" t="s">
        <v>42</v>
      </c>
      <c r="U82" t="s">
        <v>279</v>
      </c>
      <c r="V82" t="s">
        <v>45</v>
      </c>
      <c r="W82" t="s">
        <v>279</v>
      </c>
      <c r="X82" t="s">
        <v>45</v>
      </c>
      <c r="Y82" t="s">
        <v>261</v>
      </c>
      <c r="Z82" t="s">
        <v>47</v>
      </c>
      <c r="AA82"/>
      <c r="AB82"/>
      <c r="AC82"/>
      <c r="AD82"/>
    </row>
    <row r="83" spans="1:30">
      <c r="A83">
        <v>5110070026</v>
      </c>
      <c r="B83" t="s">
        <v>30</v>
      </c>
      <c r="C83" t="s">
        <v>230</v>
      </c>
      <c r="D83" t="s">
        <v>231</v>
      </c>
      <c r="E83" t="s">
        <v>79</v>
      </c>
      <c r="F83" t="s">
        <v>56</v>
      </c>
      <c r="G83" t="s">
        <v>283</v>
      </c>
      <c r="H83" t="s">
        <v>50</v>
      </c>
      <c r="I83" t="s">
        <v>100</v>
      </c>
      <c r="J83" t="s">
        <v>59</v>
      </c>
      <c r="K83" t="str">
        <f>"na"</f>
        <v>0</v>
      </c>
      <c r="L83">
        <v>10000</v>
      </c>
      <c r="M83"/>
      <c r="N83" t="s">
        <v>38</v>
      </c>
      <c r="O83" t="s">
        <v>38</v>
      </c>
      <c r="P83" t="s">
        <v>53</v>
      </c>
      <c r="Q83" t="s">
        <v>38</v>
      </c>
      <c r="R83" t="s">
        <v>38</v>
      </c>
      <c r="S83" t="s">
        <v>68</v>
      </c>
      <c r="T83" t="s">
        <v>68</v>
      </c>
      <c r="U83" t="s">
        <v>279</v>
      </c>
      <c r="V83" t="s">
        <v>44</v>
      </c>
      <c r="W83" t="s">
        <v>279</v>
      </c>
      <c r="X83" t="s">
        <v>45</v>
      </c>
      <c r="Y83" t="s">
        <v>232</v>
      </c>
      <c r="Z83" t="s">
        <v>47</v>
      </c>
      <c r="AA83"/>
      <c r="AB83"/>
      <c r="AC83"/>
      <c r="AD83"/>
    </row>
    <row r="84" spans="1:30">
      <c r="A84">
        <v>4110030038</v>
      </c>
      <c r="B84" t="s">
        <v>30</v>
      </c>
      <c r="C84" t="s">
        <v>88</v>
      </c>
      <c r="D84" t="s">
        <v>89</v>
      </c>
      <c r="E84" t="s">
        <v>112</v>
      </c>
      <c r="F84" t="s">
        <v>56</v>
      </c>
      <c r="G84" t="s">
        <v>284</v>
      </c>
      <c r="H84" t="s">
        <v>50</v>
      </c>
      <c r="I84" t="s">
        <v>64</v>
      </c>
      <c r="J84" t="s">
        <v>59</v>
      </c>
      <c r="K84" t="str">
        <f>"na"</f>
        <v>0</v>
      </c>
      <c r="L84">
        <v>350000</v>
      </c>
      <c r="M84"/>
      <c r="N84" t="s">
        <v>38</v>
      </c>
      <c r="O84" t="s">
        <v>38</v>
      </c>
      <c r="P84" t="s">
        <v>53</v>
      </c>
      <c r="Q84" t="s">
        <v>38</v>
      </c>
      <c r="R84" t="s">
        <v>38</v>
      </c>
      <c r="S84" t="s">
        <v>266</v>
      </c>
      <c r="T84" t="s">
        <v>266</v>
      </c>
      <c r="U84" t="s">
        <v>279</v>
      </c>
      <c r="V84" t="s">
        <v>44</v>
      </c>
      <c r="W84" t="s">
        <v>279</v>
      </c>
      <c r="X84" t="s">
        <v>45</v>
      </c>
      <c r="Y84" t="s">
        <v>285</v>
      </c>
      <c r="Z84" t="s">
        <v>70</v>
      </c>
      <c r="AA84"/>
      <c r="AB84"/>
      <c r="AC84"/>
      <c r="AD84"/>
    </row>
    <row r="85" spans="1:30">
      <c r="A85">
        <v>5110180012</v>
      </c>
      <c r="B85" t="s">
        <v>30</v>
      </c>
      <c r="C85" t="s">
        <v>230</v>
      </c>
      <c r="D85" t="s">
        <v>257</v>
      </c>
      <c r="E85" t="s">
        <v>253</v>
      </c>
      <c r="F85" t="s">
        <v>48</v>
      </c>
      <c r="G85" t="s">
        <v>280</v>
      </c>
      <c r="H85" t="s">
        <v>50</v>
      </c>
      <c r="I85" t="s">
        <v>254</v>
      </c>
      <c r="J85" t="s">
        <v>281</v>
      </c>
      <c r="K85" t="str">
        <f>"84909197"</f>
        <v>0</v>
      </c>
      <c r="L85">
        <v>105340</v>
      </c>
      <c r="M85"/>
      <c r="N85" t="s">
        <v>38</v>
      </c>
      <c r="O85" t="s">
        <v>38</v>
      </c>
      <c r="P85" t="s">
        <v>53</v>
      </c>
      <c r="Q85" t="s">
        <v>38</v>
      </c>
      <c r="R85" t="s">
        <v>38</v>
      </c>
      <c r="S85" t="s">
        <v>42</v>
      </c>
      <c r="T85" t="s">
        <v>42</v>
      </c>
      <c r="U85" t="s">
        <v>261</v>
      </c>
      <c r="V85" t="s">
        <v>45</v>
      </c>
      <c r="W85" t="s">
        <v>261</v>
      </c>
      <c r="X85" t="s">
        <v>45</v>
      </c>
      <c r="Y85" t="s">
        <v>261</v>
      </c>
      <c r="Z85" t="s">
        <v>47</v>
      </c>
      <c r="AA85"/>
      <c r="AB85"/>
      <c r="AC85"/>
      <c r="AD85"/>
    </row>
    <row r="86" spans="1:30">
      <c r="A86">
        <v>4110030037</v>
      </c>
      <c r="B86" t="s">
        <v>30</v>
      </c>
      <c r="C86" t="s">
        <v>88</v>
      </c>
      <c r="D86" t="s">
        <v>89</v>
      </c>
      <c r="E86" t="s">
        <v>112</v>
      </c>
      <c r="F86" t="s">
        <v>286</v>
      </c>
      <c r="G86" t="s">
        <v>287</v>
      </c>
      <c r="H86" t="s">
        <v>35</v>
      </c>
      <c r="I86" t="s">
        <v>100</v>
      </c>
      <c r="J86" t="s">
        <v>59</v>
      </c>
      <c r="K86" t="str">
        <f>"na"</f>
        <v>0</v>
      </c>
      <c r="L86">
        <v>35000</v>
      </c>
      <c r="M86"/>
      <c r="N86" t="s">
        <v>38</v>
      </c>
      <c r="O86" t="s">
        <v>38</v>
      </c>
      <c r="P86" t="s">
        <v>53</v>
      </c>
      <c r="Q86" t="s">
        <v>38</v>
      </c>
      <c r="R86" t="s">
        <v>38</v>
      </c>
      <c r="S86" t="s">
        <v>68</v>
      </c>
      <c r="T86" t="s">
        <v>68</v>
      </c>
      <c r="U86" t="s">
        <v>288</v>
      </c>
      <c r="V86" t="s">
        <v>44</v>
      </c>
      <c r="W86" t="s">
        <v>288</v>
      </c>
      <c r="X86" t="s">
        <v>45</v>
      </c>
      <c r="Y86" t="s">
        <v>289</v>
      </c>
      <c r="Z86" t="s">
        <v>47</v>
      </c>
      <c r="AA86"/>
      <c r="AB86"/>
      <c r="AC86"/>
      <c r="AD86"/>
    </row>
    <row r="87" spans="1:30">
      <c r="A87">
        <v>3110090093</v>
      </c>
      <c r="B87" t="s">
        <v>30</v>
      </c>
      <c r="C87" t="s">
        <v>61</v>
      </c>
      <c r="D87" t="s">
        <v>133</v>
      </c>
      <c r="E87" t="s">
        <v>48</v>
      </c>
      <c r="F87" t="s">
        <v>48</v>
      </c>
      <c r="G87" t="s">
        <v>203</v>
      </c>
      <c r="H87" t="s">
        <v>50</v>
      </c>
      <c r="I87" t="s">
        <v>290</v>
      </c>
      <c r="J87" t="s">
        <v>291</v>
      </c>
      <c r="K87" t="str">
        <f>"na"</f>
        <v>0</v>
      </c>
      <c r="L87">
        <v>20000</v>
      </c>
      <c r="M87"/>
      <c r="N87" t="s">
        <v>38</v>
      </c>
      <c r="O87" t="s">
        <v>38</v>
      </c>
      <c r="P87" t="s">
        <v>53</v>
      </c>
      <c r="Q87" t="s">
        <v>38</v>
      </c>
      <c r="R87" t="s">
        <v>38</v>
      </c>
      <c r="S87" t="s">
        <v>42</v>
      </c>
      <c r="T87" t="s">
        <v>42</v>
      </c>
      <c r="U87" t="s">
        <v>292</v>
      </c>
      <c r="V87" t="s">
        <v>44</v>
      </c>
      <c r="W87" t="s">
        <v>292</v>
      </c>
      <c r="X87" t="s">
        <v>45</v>
      </c>
      <c r="Y87" t="s">
        <v>293</v>
      </c>
      <c r="Z87" t="s">
        <v>47</v>
      </c>
      <c r="AA87"/>
      <c r="AB87"/>
      <c r="AC87"/>
      <c r="AD87"/>
    </row>
    <row r="88" spans="1:30">
      <c r="A88">
        <v>3110100271</v>
      </c>
      <c r="B88" t="s">
        <v>30</v>
      </c>
      <c r="C88" t="s">
        <v>61</v>
      </c>
      <c r="D88" t="s">
        <v>71</v>
      </c>
      <c r="E88" t="s">
        <v>48</v>
      </c>
      <c r="F88" t="s">
        <v>48</v>
      </c>
      <c r="G88" t="s">
        <v>294</v>
      </c>
      <c r="H88" t="s">
        <v>50</v>
      </c>
      <c r="I88" t="s">
        <v>295</v>
      </c>
      <c r="J88" t="s">
        <v>59</v>
      </c>
      <c r="K88" t="str">
        <f>"na"</f>
        <v>0</v>
      </c>
      <c r="L88">
        <v>15000</v>
      </c>
      <c r="M88"/>
      <c r="N88" t="s">
        <v>38</v>
      </c>
      <c r="O88" t="s">
        <v>38</v>
      </c>
      <c r="P88" t="s">
        <v>53</v>
      </c>
      <c r="Q88" t="s">
        <v>38</v>
      </c>
      <c r="R88" t="s">
        <v>38</v>
      </c>
      <c r="S88" t="s">
        <v>42</v>
      </c>
      <c r="T88" t="s">
        <v>42</v>
      </c>
      <c r="U88" t="s">
        <v>292</v>
      </c>
      <c r="V88" t="s">
        <v>77</v>
      </c>
      <c r="W88" t="s">
        <v>292</v>
      </c>
      <c r="X88" t="s">
        <v>45</v>
      </c>
      <c r="Y88" t="s">
        <v>296</v>
      </c>
      <c r="Z88" t="s">
        <v>47</v>
      </c>
      <c r="AA88"/>
      <c r="AB88"/>
      <c r="AC88"/>
      <c r="AD88"/>
    </row>
    <row r="89" spans="1:30">
      <c r="A89">
        <v>3110110124</v>
      </c>
      <c r="B89" t="s">
        <v>30</v>
      </c>
      <c r="C89" t="s">
        <v>61</v>
      </c>
      <c r="D89" t="s">
        <v>62</v>
      </c>
      <c r="E89" t="s">
        <v>72</v>
      </c>
      <c r="F89" t="s">
        <v>64</v>
      </c>
      <c r="G89" t="s">
        <v>99</v>
      </c>
      <c r="H89" t="s">
        <v>50</v>
      </c>
      <c r="I89" t="s">
        <v>227</v>
      </c>
      <c r="J89" t="s">
        <v>297</v>
      </c>
      <c r="K89" t="str">
        <f>"210501967"</f>
        <v>0</v>
      </c>
      <c r="L89">
        <v>38047</v>
      </c>
      <c r="M89"/>
      <c r="N89" t="s">
        <v>38</v>
      </c>
      <c r="O89" t="s">
        <v>38</v>
      </c>
      <c r="P89" t="s">
        <v>53</v>
      </c>
      <c r="Q89" t="s">
        <v>38</v>
      </c>
      <c r="R89" t="s">
        <v>38</v>
      </c>
      <c r="S89" t="s">
        <v>42</v>
      </c>
      <c r="T89" t="s">
        <v>42</v>
      </c>
      <c r="U89" t="s">
        <v>292</v>
      </c>
      <c r="V89" t="s">
        <v>44</v>
      </c>
      <c r="W89" t="s">
        <v>292</v>
      </c>
      <c r="X89" t="s">
        <v>45</v>
      </c>
      <c r="Y89" t="s">
        <v>298</v>
      </c>
      <c r="Z89" t="s">
        <v>47</v>
      </c>
      <c r="AA89"/>
      <c r="AB89"/>
      <c r="AC89"/>
      <c r="AD89"/>
    </row>
    <row r="90" spans="1:30">
      <c r="A90">
        <v>3110110125</v>
      </c>
      <c r="B90" t="s">
        <v>30</v>
      </c>
      <c r="C90" t="s">
        <v>61</v>
      </c>
      <c r="D90" t="s">
        <v>62</v>
      </c>
      <c r="E90" t="s">
        <v>72</v>
      </c>
      <c r="F90" t="s">
        <v>64</v>
      </c>
      <c r="G90" t="s">
        <v>99</v>
      </c>
      <c r="H90" t="s">
        <v>50</v>
      </c>
      <c r="I90" t="s">
        <v>227</v>
      </c>
      <c r="J90" t="s">
        <v>297</v>
      </c>
      <c r="K90" t="str">
        <f>"210500735"</f>
        <v>0</v>
      </c>
      <c r="L90">
        <v>38047</v>
      </c>
      <c r="M90"/>
      <c r="N90" t="s">
        <v>38</v>
      </c>
      <c r="O90" t="s">
        <v>38</v>
      </c>
      <c r="P90" t="s">
        <v>53</v>
      </c>
      <c r="Q90" t="s">
        <v>38</v>
      </c>
      <c r="R90" t="s">
        <v>38</v>
      </c>
      <c r="S90" t="s">
        <v>42</v>
      </c>
      <c r="T90" t="s">
        <v>42</v>
      </c>
      <c r="U90" t="s">
        <v>292</v>
      </c>
      <c r="V90" t="s">
        <v>44</v>
      </c>
      <c r="W90" t="s">
        <v>292</v>
      </c>
      <c r="X90" t="s">
        <v>45</v>
      </c>
      <c r="Y90" t="s">
        <v>298</v>
      </c>
      <c r="Z90" t="s">
        <v>47</v>
      </c>
      <c r="AA90"/>
      <c r="AB90"/>
      <c r="AC90"/>
      <c r="AD90"/>
    </row>
    <row r="91" spans="1:30">
      <c r="A91">
        <v>3110110126</v>
      </c>
      <c r="B91" t="s">
        <v>30</v>
      </c>
      <c r="C91" t="s">
        <v>61</v>
      </c>
      <c r="D91" t="s">
        <v>62</v>
      </c>
      <c r="E91" t="s">
        <v>72</v>
      </c>
      <c r="F91" t="s">
        <v>64</v>
      </c>
      <c r="G91" t="s">
        <v>99</v>
      </c>
      <c r="H91" t="s">
        <v>50</v>
      </c>
      <c r="I91" t="s">
        <v>227</v>
      </c>
      <c r="J91" t="s">
        <v>297</v>
      </c>
      <c r="K91" t="str">
        <f>"210501718"</f>
        <v>0</v>
      </c>
      <c r="L91">
        <v>38047</v>
      </c>
      <c r="M91"/>
      <c r="N91" t="s">
        <v>38</v>
      </c>
      <c r="O91" t="s">
        <v>38</v>
      </c>
      <c r="P91" t="s">
        <v>53</v>
      </c>
      <c r="Q91" t="s">
        <v>38</v>
      </c>
      <c r="R91" t="s">
        <v>38</v>
      </c>
      <c r="S91" t="s">
        <v>42</v>
      </c>
      <c r="T91" t="s">
        <v>42</v>
      </c>
      <c r="U91" t="s">
        <v>292</v>
      </c>
      <c r="V91" t="s">
        <v>44</v>
      </c>
      <c r="W91" t="s">
        <v>292</v>
      </c>
      <c r="X91" t="s">
        <v>45</v>
      </c>
      <c r="Y91" t="s">
        <v>298</v>
      </c>
      <c r="Z91" t="s">
        <v>47</v>
      </c>
      <c r="AA91"/>
      <c r="AB91"/>
      <c r="AC91"/>
      <c r="AD91"/>
    </row>
    <row r="92" spans="1:30">
      <c r="A92">
        <v>3110100267</v>
      </c>
      <c r="B92" t="s">
        <v>30</v>
      </c>
      <c r="C92" t="s">
        <v>61</v>
      </c>
      <c r="D92" t="s">
        <v>71</v>
      </c>
      <c r="E92" t="s">
        <v>55</v>
      </c>
      <c r="F92" t="s">
        <v>246</v>
      </c>
      <c r="G92" t="s">
        <v>247</v>
      </c>
      <c r="H92" t="s">
        <v>50</v>
      </c>
      <c r="I92" t="s">
        <v>299</v>
      </c>
      <c r="J92" t="s">
        <v>300</v>
      </c>
      <c r="K92" t="str">
        <f>"EG09L00322"</f>
        <v>0</v>
      </c>
      <c r="L92">
        <v>37000</v>
      </c>
      <c r="M92"/>
      <c r="N92" t="s">
        <v>38</v>
      </c>
      <c r="O92" t="s">
        <v>38</v>
      </c>
      <c r="P92" t="s">
        <v>53</v>
      </c>
      <c r="Q92" t="s">
        <v>38</v>
      </c>
      <c r="R92" t="s">
        <v>38</v>
      </c>
      <c r="S92" t="s">
        <v>42</v>
      </c>
      <c r="T92" t="s">
        <v>42</v>
      </c>
      <c r="U92" t="s">
        <v>292</v>
      </c>
      <c r="V92" t="s">
        <v>77</v>
      </c>
      <c r="W92" t="s">
        <v>292</v>
      </c>
      <c r="X92" t="s">
        <v>45</v>
      </c>
      <c r="Y92" t="s">
        <v>301</v>
      </c>
      <c r="Z92" t="s">
        <v>47</v>
      </c>
      <c r="AA92"/>
      <c r="AB92"/>
      <c r="AC92"/>
      <c r="AD92"/>
    </row>
    <row r="93" spans="1:30">
      <c r="A93">
        <v>3110100268</v>
      </c>
      <c r="B93" t="s">
        <v>30</v>
      </c>
      <c r="C93" t="s">
        <v>61</v>
      </c>
      <c r="D93" t="s">
        <v>71</v>
      </c>
      <c r="E93" t="s">
        <v>79</v>
      </c>
      <c r="F93" t="s">
        <v>246</v>
      </c>
      <c r="G93" t="s">
        <v>247</v>
      </c>
      <c r="H93" t="s">
        <v>50</v>
      </c>
      <c r="I93" t="s">
        <v>302</v>
      </c>
      <c r="J93" t="s">
        <v>303</v>
      </c>
      <c r="K93" t="str">
        <f>"MBB2106602"</f>
        <v>0</v>
      </c>
      <c r="L93">
        <v>73500</v>
      </c>
      <c r="M93"/>
      <c r="N93" t="s">
        <v>38</v>
      </c>
      <c r="O93" t="s">
        <v>38</v>
      </c>
      <c r="P93" t="s">
        <v>53</v>
      </c>
      <c r="Q93" t="s">
        <v>38</v>
      </c>
      <c r="R93" t="s">
        <v>38</v>
      </c>
      <c r="S93" t="s">
        <v>42</v>
      </c>
      <c r="T93" t="s">
        <v>42</v>
      </c>
      <c r="U93" t="s">
        <v>292</v>
      </c>
      <c r="V93" t="s">
        <v>77</v>
      </c>
      <c r="W93" t="s">
        <v>292</v>
      </c>
      <c r="X93" t="s">
        <v>45</v>
      </c>
      <c r="Y93" t="s">
        <v>301</v>
      </c>
      <c r="Z93" t="s">
        <v>47</v>
      </c>
      <c r="AA93"/>
      <c r="AB93"/>
      <c r="AC93"/>
      <c r="AD93"/>
    </row>
    <row r="94" spans="1:30">
      <c r="A94">
        <v>4110030034</v>
      </c>
      <c r="B94" t="s">
        <v>30</v>
      </c>
      <c r="C94" t="s">
        <v>88</v>
      </c>
      <c r="D94" t="s">
        <v>89</v>
      </c>
      <c r="E94" t="s">
        <v>245</v>
      </c>
      <c r="F94" t="s">
        <v>166</v>
      </c>
      <c r="G94" t="s">
        <v>247</v>
      </c>
      <c r="H94" t="s">
        <v>50</v>
      </c>
      <c r="I94" t="s">
        <v>168</v>
      </c>
      <c r="J94" t="s">
        <v>169</v>
      </c>
      <c r="K94" t="str">
        <f>"k1917926091"</f>
        <v>0</v>
      </c>
      <c r="L94">
        <v>34777</v>
      </c>
      <c r="M94"/>
      <c r="N94" t="s">
        <v>38</v>
      </c>
      <c r="O94" t="s">
        <v>38</v>
      </c>
      <c r="P94" t="s">
        <v>53</v>
      </c>
      <c r="Q94" t="s">
        <v>38</v>
      </c>
      <c r="R94" t="s">
        <v>38</v>
      </c>
      <c r="S94" t="s">
        <v>42</v>
      </c>
      <c r="T94" t="s">
        <v>42</v>
      </c>
      <c r="U94" t="s">
        <v>292</v>
      </c>
      <c r="V94" t="s">
        <v>44</v>
      </c>
      <c r="W94" t="s">
        <v>292</v>
      </c>
      <c r="X94" t="s">
        <v>45</v>
      </c>
      <c r="Y94" t="s">
        <v>304</v>
      </c>
      <c r="Z94" t="s">
        <v>47</v>
      </c>
      <c r="AA94"/>
      <c r="AB94"/>
      <c r="AC94"/>
      <c r="AD94"/>
    </row>
    <row r="95" spans="1:30">
      <c r="A95">
        <v>2110060424</v>
      </c>
      <c r="B95" t="s">
        <v>30</v>
      </c>
      <c r="C95" t="s">
        <v>31</v>
      </c>
      <c r="D95" t="s">
        <v>32</v>
      </c>
      <c r="E95" t="s">
        <v>198</v>
      </c>
      <c r="F95" t="s">
        <v>118</v>
      </c>
      <c r="G95" t="s">
        <v>305</v>
      </c>
      <c r="H95" t="s">
        <v>50</v>
      </c>
      <c r="I95" t="s">
        <v>306</v>
      </c>
      <c r="J95" t="s">
        <v>307</v>
      </c>
      <c r="K95" t="str">
        <f>"42782699"</f>
        <v>0</v>
      </c>
      <c r="L95">
        <v>1003000</v>
      </c>
      <c r="M95"/>
      <c r="N95" t="s">
        <v>38</v>
      </c>
      <c r="O95" t="s">
        <v>38</v>
      </c>
      <c r="P95" t="s">
        <v>53</v>
      </c>
      <c r="Q95" t="s">
        <v>38</v>
      </c>
      <c r="R95" t="s">
        <v>38</v>
      </c>
      <c r="S95" t="s">
        <v>42</v>
      </c>
      <c r="T95" t="s">
        <v>42</v>
      </c>
      <c r="U95" t="s">
        <v>292</v>
      </c>
      <c r="V95" t="s">
        <v>44</v>
      </c>
      <c r="W95" t="s">
        <v>292</v>
      </c>
      <c r="X95" t="s">
        <v>45</v>
      </c>
      <c r="Y95" t="s">
        <v>308</v>
      </c>
      <c r="Z95" t="s">
        <v>47</v>
      </c>
      <c r="AA95"/>
      <c r="AB95"/>
      <c r="AC95"/>
      <c r="AD95"/>
    </row>
    <row r="96" spans="1:30">
      <c r="A96">
        <v>2110060425</v>
      </c>
      <c r="B96" t="s">
        <v>30</v>
      </c>
      <c r="C96" t="s">
        <v>31</v>
      </c>
      <c r="D96" t="s">
        <v>32</v>
      </c>
      <c r="E96" t="s">
        <v>198</v>
      </c>
      <c r="F96" t="s">
        <v>48</v>
      </c>
      <c r="G96" t="s">
        <v>199</v>
      </c>
      <c r="H96" t="s">
        <v>50</v>
      </c>
      <c r="I96" t="s">
        <v>309</v>
      </c>
      <c r="J96" t="s">
        <v>310</v>
      </c>
      <c r="K96" t="str">
        <f>"4462116"</f>
        <v>0</v>
      </c>
      <c r="L96">
        <v>38106</v>
      </c>
      <c r="M96"/>
      <c r="N96" t="s">
        <v>38</v>
      </c>
      <c r="O96" t="s">
        <v>38</v>
      </c>
      <c r="P96" t="s">
        <v>53</v>
      </c>
      <c r="Q96" t="s">
        <v>38</v>
      </c>
      <c r="R96" t="s">
        <v>38</v>
      </c>
      <c r="S96" t="s">
        <v>42</v>
      </c>
      <c r="T96" t="s">
        <v>42</v>
      </c>
      <c r="U96" t="s">
        <v>292</v>
      </c>
      <c r="V96" t="s">
        <v>44</v>
      </c>
      <c r="W96" t="s">
        <v>292</v>
      </c>
      <c r="X96" t="s">
        <v>45</v>
      </c>
      <c r="Y96" t="s">
        <v>308</v>
      </c>
      <c r="Z96" t="s">
        <v>47</v>
      </c>
      <c r="AA96"/>
      <c r="AB96"/>
      <c r="AC96"/>
      <c r="AD96"/>
    </row>
    <row r="97" spans="1:30">
      <c r="A97">
        <v>3110110127</v>
      </c>
      <c r="B97" t="s">
        <v>30</v>
      </c>
      <c r="C97" t="s">
        <v>61</v>
      </c>
      <c r="D97" t="s">
        <v>62</v>
      </c>
      <c r="E97" t="s">
        <v>55</v>
      </c>
      <c r="F97" t="s">
        <v>166</v>
      </c>
      <c r="G97" t="s">
        <v>167</v>
      </c>
      <c r="H97" t="s">
        <v>35</v>
      </c>
      <c r="I97" t="s">
        <v>311</v>
      </c>
      <c r="J97" t="s">
        <v>312</v>
      </c>
      <c r="K97" t="str">
        <f>"de671G1863"</f>
        <v>0</v>
      </c>
      <c r="L97">
        <v>529100</v>
      </c>
      <c r="M97"/>
      <c r="N97" t="s">
        <v>38</v>
      </c>
      <c r="O97" t="s">
        <v>38</v>
      </c>
      <c r="P97" t="s">
        <v>53</v>
      </c>
      <c r="Q97" t="s">
        <v>38</v>
      </c>
      <c r="R97" t="s">
        <v>38</v>
      </c>
      <c r="S97" t="s">
        <v>42</v>
      </c>
      <c r="T97" t="s">
        <v>42</v>
      </c>
      <c r="U97" t="s">
        <v>313</v>
      </c>
      <c r="V97" t="s">
        <v>44</v>
      </c>
      <c r="W97" t="s">
        <v>313</v>
      </c>
      <c r="X97" t="s">
        <v>45</v>
      </c>
      <c r="Y97" t="s">
        <v>298</v>
      </c>
      <c r="Z97" t="s">
        <v>47</v>
      </c>
      <c r="AA97"/>
      <c r="AB97"/>
      <c r="AC97"/>
      <c r="AD97"/>
    </row>
    <row r="98" spans="1:30">
      <c r="A98">
        <v>5110070025</v>
      </c>
      <c r="B98" t="s">
        <v>30</v>
      </c>
      <c r="C98" t="s">
        <v>230</v>
      </c>
      <c r="D98" t="s">
        <v>231</v>
      </c>
      <c r="E98" t="s">
        <v>72</v>
      </c>
      <c r="F98" t="s">
        <v>64</v>
      </c>
      <c r="G98" t="s">
        <v>99</v>
      </c>
      <c r="H98" t="s">
        <v>50</v>
      </c>
      <c r="I98" t="s">
        <v>314</v>
      </c>
      <c r="J98" t="s">
        <v>315</v>
      </c>
      <c r="K98" t="str">
        <f>"21g23d401aa011267"</f>
        <v>0</v>
      </c>
      <c r="L98">
        <v>36000</v>
      </c>
      <c r="M98"/>
      <c r="N98" t="s">
        <v>38</v>
      </c>
      <c r="O98" t="s">
        <v>38</v>
      </c>
      <c r="P98" t="s">
        <v>53</v>
      </c>
      <c r="Q98" t="s">
        <v>38</v>
      </c>
      <c r="R98" t="s">
        <v>38</v>
      </c>
      <c r="S98" t="s">
        <v>42</v>
      </c>
      <c r="T98" t="s">
        <v>42</v>
      </c>
      <c r="U98" t="s">
        <v>313</v>
      </c>
      <c r="V98" t="s">
        <v>44</v>
      </c>
      <c r="W98" t="s">
        <v>313</v>
      </c>
      <c r="X98" t="s">
        <v>45</v>
      </c>
      <c r="Y98" t="s">
        <v>239</v>
      </c>
      <c r="Z98" t="s">
        <v>47</v>
      </c>
      <c r="AA98"/>
      <c r="AB98"/>
      <c r="AC98"/>
      <c r="AD98"/>
    </row>
    <row r="99" spans="1:30">
      <c r="A99">
        <v>2110060432</v>
      </c>
      <c r="B99" t="s">
        <v>30</v>
      </c>
      <c r="C99" t="s">
        <v>31</v>
      </c>
      <c r="D99" t="s">
        <v>32</v>
      </c>
      <c r="E99" t="s">
        <v>198</v>
      </c>
      <c r="F99" t="s">
        <v>48</v>
      </c>
      <c r="G99" t="s">
        <v>294</v>
      </c>
      <c r="H99" t="s">
        <v>50</v>
      </c>
      <c r="I99" t="s">
        <v>316</v>
      </c>
      <c r="J99" t="s">
        <v>317</v>
      </c>
      <c r="K99" t="str">
        <f>"21010451"</f>
        <v>0</v>
      </c>
      <c r="L99">
        <v>12908</v>
      </c>
      <c r="M99"/>
      <c r="N99" t="s">
        <v>38</v>
      </c>
      <c r="O99" t="s">
        <v>38</v>
      </c>
      <c r="P99" t="s">
        <v>53</v>
      </c>
      <c r="Q99" t="s">
        <v>38</v>
      </c>
      <c r="R99" t="s">
        <v>38</v>
      </c>
      <c r="S99" t="s">
        <v>42</v>
      </c>
      <c r="T99" t="s">
        <v>42</v>
      </c>
      <c r="U99" t="s">
        <v>313</v>
      </c>
      <c r="V99" t="s">
        <v>44</v>
      </c>
      <c r="W99" t="s">
        <v>313</v>
      </c>
      <c r="X99" t="s">
        <v>45</v>
      </c>
      <c r="Y99" t="s">
        <v>308</v>
      </c>
      <c r="Z99" t="s">
        <v>47</v>
      </c>
      <c r="AA99"/>
      <c r="AB99"/>
      <c r="AC99" t="s">
        <v>318</v>
      </c>
      <c r="AD99"/>
    </row>
    <row r="100" spans="1:30">
      <c r="A100">
        <v>2110060433</v>
      </c>
      <c r="B100" t="s">
        <v>30</v>
      </c>
      <c r="C100" t="s">
        <v>31</v>
      </c>
      <c r="D100" t="s">
        <v>32</v>
      </c>
      <c r="E100" t="s">
        <v>198</v>
      </c>
      <c r="F100" t="s">
        <v>48</v>
      </c>
      <c r="G100" t="s">
        <v>294</v>
      </c>
      <c r="H100" t="s">
        <v>50</v>
      </c>
      <c r="I100" t="s">
        <v>316</v>
      </c>
      <c r="J100" t="s">
        <v>317</v>
      </c>
      <c r="K100" t="str">
        <f>"21010499"</f>
        <v>0</v>
      </c>
      <c r="L100">
        <v>12908</v>
      </c>
      <c r="M100"/>
      <c r="N100" t="s">
        <v>38</v>
      </c>
      <c r="O100" t="s">
        <v>38</v>
      </c>
      <c r="P100" t="s">
        <v>53</v>
      </c>
      <c r="Q100" t="s">
        <v>38</v>
      </c>
      <c r="R100" t="s">
        <v>38</v>
      </c>
      <c r="S100" t="s">
        <v>42</v>
      </c>
      <c r="T100" t="s">
        <v>42</v>
      </c>
      <c r="U100" t="s">
        <v>313</v>
      </c>
      <c r="V100" t="s">
        <v>44</v>
      </c>
      <c r="W100" t="s">
        <v>313</v>
      </c>
      <c r="X100" t="s">
        <v>45</v>
      </c>
      <c r="Y100" t="s">
        <v>308</v>
      </c>
      <c r="Z100" t="s">
        <v>47</v>
      </c>
      <c r="AA100"/>
      <c r="AB100"/>
      <c r="AC100"/>
      <c r="AD100"/>
    </row>
    <row r="101" spans="1:30">
      <c r="A101">
        <v>2110060434</v>
      </c>
      <c r="B101" t="s">
        <v>30</v>
      </c>
      <c r="C101" t="s">
        <v>31</v>
      </c>
      <c r="D101" t="s">
        <v>32</v>
      </c>
      <c r="E101" t="s">
        <v>198</v>
      </c>
      <c r="F101" t="s">
        <v>48</v>
      </c>
      <c r="G101" t="s">
        <v>294</v>
      </c>
      <c r="H101" t="s">
        <v>50</v>
      </c>
      <c r="I101" t="s">
        <v>316</v>
      </c>
      <c r="J101" t="s">
        <v>317</v>
      </c>
      <c r="K101" t="str">
        <f>"21010566"</f>
        <v>0</v>
      </c>
      <c r="L101">
        <v>12908</v>
      </c>
      <c r="M101"/>
      <c r="N101" t="s">
        <v>38</v>
      </c>
      <c r="O101" t="s">
        <v>38</v>
      </c>
      <c r="P101" t="s">
        <v>53</v>
      </c>
      <c r="Q101" t="s">
        <v>38</v>
      </c>
      <c r="R101" t="s">
        <v>38</v>
      </c>
      <c r="S101" t="s">
        <v>42</v>
      </c>
      <c r="T101" t="s">
        <v>42</v>
      </c>
      <c r="U101" t="s">
        <v>313</v>
      </c>
      <c r="V101" t="s">
        <v>44</v>
      </c>
      <c r="W101" t="s">
        <v>313</v>
      </c>
      <c r="X101" t="s">
        <v>45</v>
      </c>
      <c r="Y101" t="s">
        <v>308</v>
      </c>
      <c r="Z101" t="s">
        <v>47</v>
      </c>
      <c r="AA101"/>
      <c r="AB101"/>
      <c r="AC101"/>
      <c r="AD101"/>
    </row>
    <row r="102" spans="1:30">
      <c r="A102">
        <v>2110060430</v>
      </c>
      <c r="B102" t="s">
        <v>30</v>
      </c>
      <c r="C102" t="s">
        <v>31</v>
      </c>
      <c r="D102" t="s">
        <v>32</v>
      </c>
      <c r="E102" t="s">
        <v>198</v>
      </c>
      <c r="F102" t="s">
        <v>48</v>
      </c>
      <c r="G102" t="s">
        <v>203</v>
      </c>
      <c r="H102" t="s">
        <v>50</v>
      </c>
      <c r="I102" t="s">
        <v>319</v>
      </c>
      <c r="J102" t="s">
        <v>320</v>
      </c>
      <c r="K102" t="str">
        <f>"5453kh206995"</f>
        <v>0</v>
      </c>
      <c r="L102">
        <v>182900</v>
      </c>
      <c r="M102"/>
      <c r="N102" t="s">
        <v>38</v>
      </c>
      <c r="O102" t="s">
        <v>38</v>
      </c>
      <c r="P102" t="s">
        <v>53</v>
      </c>
      <c r="Q102" t="s">
        <v>38</v>
      </c>
      <c r="R102" t="s">
        <v>38</v>
      </c>
      <c r="S102" t="s">
        <v>42</v>
      </c>
      <c r="T102" t="s">
        <v>42</v>
      </c>
      <c r="U102" t="s">
        <v>313</v>
      </c>
      <c r="V102" t="s">
        <v>44</v>
      </c>
      <c r="W102" t="s">
        <v>313</v>
      </c>
      <c r="X102" t="s">
        <v>45</v>
      </c>
      <c r="Y102" t="s">
        <v>308</v>
      </c>
      <c r="Z102" t="s">
        <v>47</v>
      </c>
      <c r="AA102"/>
      <c r="AB102"/>
      <c r="AC102"/>
      <c r="AD102"/>
    </row>
    <row r="103" spans="1:30">
      <c r="A103">
        <v>2110060431</v>
      </c>
      <c r="B103" t="s">
        <v>30</v>
      </c>
      <c r="C103" t="s">
        <v>31</v>
      </c>
      <c r="D103" t="s">
        <v>32</v>
      </c>
      <c r="E103" t="s">
        <v>198</v>
      </c>
      <c r="F103" t="s">
        <v>48</v>
      </c>
      <c r="G103" t="s">
        <v>203</v>
      </c>
      <c r="H103" t="s">
        <v>50</v>
      </c>
      <c r="I103" t="s">
        <v>319</v>
      </c>
      <c r="J103" t="s">
        <v>320</v>
      </c>
      <c r="K103" t="str">
        <f>"5453kh707032"</f>
        <v>0</v>
      </c>
      <c r="L103">
        <v>182900</v>
      </c>
      <c r="M103"/>
      <c r="N103" t="s">
        <v>38</v>
      </c>
      <c r="O103" t="s">
        <v>38</v>
      </c>
      <c r="P103" t="s">
        <v>53</v>
      </c>
      <c r="Q103" t="s">
        <v>38</v>
      </c>
      <c r="R103" t="s">
        <v>38</v>
      </c>
      <c r="S103" t="s">
        <v>42</v>
      </c>
      <c r="T103" t="s">
        <v>42</v>
      </c>
      <c r="U103" t="s">
        <v>313</v>
      </c>
      <c r="V103" t="s">
        <v>44</v>
      </c>
      <c r="W103" t="s">
        <v>313</v>
      </c>
      <c r="X103" t="s">
        <v>45</v>
      </c>
      <c r="Y103" t="s">
        <v>308</v>
      </c>
      <c r="Z103" t="s">
        <v>47</v>
      </c>
      <c r="AA103"/>
      <c r="AB103"/>
      <c r="AC103"/>
      <c r="AD103"/>
    </row>
    <row r="104" spans="1:30">
      <c r="A104">
        <v>2110060435</v>
      </c>
      <c r="B104" t="s">
        <v>30</v>
      </c>
      <c r="C104" t="s">
        <v>31</v>
      </c>
      <c r="D104" t="s">
        <v>32</v>
      </c>
      <c r="E104" t="s">
        <v>198</v>
      </c>
      <c r="F104" t="s">
        <v>48</v>
      </c>
      <c r="G104" t="s">
        <v>203</v>
      </c>
      <c r="H104" t="s">
        <v>50</v>
      </c>
      <c r="I104" t="s">
        <v>204</v>
      </c>
      <c r="J104" t="s">
        <v>321</v>
      </c>
      <c r="K104" t="str">
        <f>"qi047682"</f>
        <v>0</v>
      </c>
      <c r="L104">
        <v>53454</v>
      </c>
      <c r="M104"/>
      <c r="N104" t="s">
        <v>38</v>
      </c>
      <c r="O104" t="s">
        <v>38</v>
      </c>
      <c r="P104" t="s">
        <v>53</v>
      </c>
      <c r="Q104" t="s">
        <v>38</v>
      </c>
      <c r="R104" t="s">
        <v>38</v>
      </c>
      <c r="S104" t="s">
        <v>42</v>
      </c>
      <c r="T104" t="s">
        <v>42</v>
      </c>
      <c r="U104" t="s">
        <v>313</v>
      </c>
      <c r="V104" t="s">
        <v>44</v>
      </c>
      <c r="W104" t="s">
        <v>313</v>
      </c>
      <c r="X104" t="s">
        <v>45</v>
      </c>
      <c r="Y104" t="s">
        <v>308</v>
      </c>
      <c r="Z104" t="s">
        <v>47</v>
      </c>
      <c r="AA104"/>
      <c r="AB104"/>
      <c r="AC104"/>
      <c r="AD104"/>
    </row>
    <row r="105" spans="1:30">
      <c r="A105">
        <v>4110030036</v>
      </c>
      <c r="B105" t="s">
        <v>30</v>
      </c>
      <c r="C105" t="s">
        <v>88</v>
      </c>
      <c r="D105" t="s">
        <v>89</v>
      </c>
      <c r="E105" t="s">
        <v>112</v>
      </c>
      <c r="F105" t="s">
        <v>64</v>
      </c>
      <c r="G105" t="s">
        <v>99</v>
      </c>
      <c r="H105" t="s">
        <v>50</v>
      </c>
      <c r="I105" t="s">
        <v>227</v>
      </c>
      <c r="J105" t="s">
        <v>228</v>
      </c>
      <c r="K105" t="str">
        <f>"210617163"</f>
        <v>0</v>
      </c>
      <c r="L105">
        <v>36000</v>
      </c>
      <c r="M105"/>
      <c r="N105" t="s">
        <v>38</v>
      </c>
      <c r="O105" t="s">
        <v>38</v>
      </c>
      <c r="P105" t="s">
        <v>53</v>
      </c>
      <c r="Q105" t="s">
        <v>38</v>
      </c>
      <c r="R105" t="s">
        <v>38</v>
      </c>
      <c r="S105" t="s">
        <v>42</v>
      </c>
      <c r="T105" t="s">
        <v>42</v>
      </c>
      <c r="U105" t="s">
        <v>313</v>
      </c>
      <c r="V105" t="s">
        <v>44</v>
      </c>
      <c r="W105" t="s">
        <v>313</v>
      </c>
      <c r="X105" t="s">
        <v>45</v>
      </c>
      <c r="Y105" t="s">
        <v>304</v>
      </c>
      <c r="Z105" t="s">
        <v>47</v>
      </c>
      <c r="AA105"/>
      <c r="AB105"/>
      <c r="AC105"/>
      <c r="AD105"/>
    </row>
    <row r="106" spans="1:30">
      <c r="A106">
        <v>2110060426</v>
      </c>
      <c r="B106" t="s">
        <v>30</v>
      </c>
      <c r="C106" t="s">
        <v>31</v>
      </c>
      <c r="D106" t="s">
        <v>32</v>
      </c>
      <c r="E106" t="s">
        <v>198</v>
      </c>
      <c r="F106" t="s">
        <v>48</v>
      </c>
      <c r="G106" t="s">
        <v>322</v>
      </c>
      <c r="H106" t="s">
        <v>50</v>
      </c>
      <c r="I106" t="s">
        <v>323</v>
      </c>
      <c r="J106" t="s">
        <v>324</v>
      </c>
      <c r="K106" t="str">
        <f>"2735221100832"</f>
        <v>0</v>
      </c>
      <c r="L106">
        <v>1522200</v>
      </c>
      <c r="M106"/>
      <c r="N106" t="s">
        <v>38</v>
      </c>
      <c r="O106" t="s">
        <v>38</v>
      </c>
      <c r="P106" t="s">
        <v>53</v>
      </c>
      <c r="Q106" t="s">
        <v>38</v>
      </c>
      <c r="R106" t="s">
        <v>38</v>
      </c>
      <c r="S106" t="s">
        <v>42</v>
      </c>
      <c r="T106" t="s">
        <v>42</v>
      </c>
      <c r="U106" t="s">
        <v>313</v>
      </c>
      <c r="V106" t="s">
        <v>44</v>
      </c>
      <c r="W106" t="s">
        <v>313</v>
      </c>
      <c r="X106" t="s">
        <v>45</v>
      </c>
      <c r="Y106" t="s">
        <v>308</v>
      </c>
      <c r="Z106" t="s">
        <v>47</v>
      </c>
      <c r="AA106"/>
      <c r="AB106"/>
      <c r="AC106"/>
      <c r="AD106"/>
    </row>
    <row r="107" spans="1:30">
      <c r="A107">
        <v>2110060427</v>
      </c>
      <c r="B107" t="s">
        <v>30</v>
      </c>
      <c r="C107" t="s">
        <v>31</v>
      </c>
      <c r="D107" t="s">
        <v>32</v>
      </c>
      <c r="E107" t="s">
        <v>198</v>
      </c>
      <c r="F107" t="s">
        <v>48</v>
      </c>
      <c r="G107" t="s">
        <v>322</v>
      </c>
      <c r="H107" t="s">
        <v>50</v>
      </c>
      <c r="I107" t="s">
        <v>325</v>
      </c>
      <c r="J107" t="s">
        <v>326</v>
      </c>
      <c r="K107" t="str">
        <f>"787br18351"</f>
        <v>0</v>
      </c>
      <c r="L107">
        <v>501827</v>
      </c>
      <c r="M107"/>
      <c r="N107" t="s">
        <v>38</v>
      </c>
      <c r="O107" t="s">
        <v>38</v>
      </c>
      <c r="P107" t="s">
        <v>53</v>
      </c>
      <c r="Q107" t="s">
        <v>38</v>
      </c>
      <c r="R107" t="s">
        <v>38</v>
      </c>
      <c r="S107" t="s">
        <v>42</v>
      </c>
      <c r="T107" t="s">
        <v>42</v>
      </c>
      <c r="U107" t="s">
        <v>313</v>
      </c>
      <c r="V107" t="s">
        <v>44</v>
      </c>
      <c r="W107" t="s">
        <v>313</v>
      </c>
      <c r="X107" t="s">
        <v>45</v>
      </c>
      <c r="Y107" t="s">
        <v>308</v>
      </c>
      <c r="Z107" t="s">
        <v>47</v>
      </c>
      <c r="AA107"/>
      <c r="AB107"/>
      <c r="AC107"/>
      <c r="AD107"/>
    </row>
    <row r="108" spans="1:30">
      <c r="A108">
        <v>2110060429</v>
      </c>
      <c r="B108" t="s">
        <v>30</v>
      </c>
      <c r="C108" t="s">
        <v>31</v>
      </c>
      <c r="D108" t="s">
        <v>32</v>
      </c>
      <c r="E108" t="s">
        <v>198</v>
      </c>
      <c r="F108" t="s">
        <v>48</v>
      </c>
      <c r="G108" t="s">
        <v>327</v>
      </c>
      <c r="H108" t="s">
        <v>50</v>
      </c>
      <c r="I108" t="s">
        <v>306</v>
      </c>
      <c r="J108" t="s">
        <v>328</v>
      </c>
      <c r="K108" t="str">
        <f>"711-8g1755"</f>
        <v>0</v>
      </c>
      <c r="L108">
        <v>2077183</v>
      </c>
      <c r="M108"/>
      <c r="N108" t="s">
        <v>38</v>
      </c>
      <c r="O108" t="s">
        <v>38</v>
      </c>
      <c r="P108" t="s">
        <v>53</v>
      </c>
      <c r="Q108" t="s">
        <v>38</v>
      </c>
      <c r="R108" t="s">
        <v>38</v>
      </c>
      <c r="S108" t="s">
        <v>42</v>
      </c>
      <c r="T108" t="s">
        <v>42</v>
      </c>
      <c r="U108" t="s">
        <v>329</v>
      </c>
      <c r="V108" t="s">
        <v>44</v>
      </c>
      <c r="W108" t="s">
        <v>329</v>
      </c>
      <c r="X108" t="s">
        <v>45</v>
      </c>
      <c r="Y108" t="s">
        <v>308</v>
      </c>
      <c r="Z108" t="s">
        <v>47</v>
      </c>
      <c r="AA108"/>
      <c r="AB108"/>
      <c r="AC108"/>
      <c r="AD108"/>
    </row>
    <row r="109" spans="1:30">
      <c r="A109">
        <v>2110060436</v>
      </c>
      <c r="B109" t="s">
        <v>30</v>
      </c>
      <c r="C109" t="s">
        <v>31</v>
      </c>
      <c r="D109" t="s">
        <v>32</v>
      </c>
      <c r="E109" t="s">
        <v>198</v>
      </c>
      <c r="F109" t="s">
        <v>48</v>
      </c>
      <c r="G109" t="s">
        <v>330</v>
      </c>
      <c r="H109" t="s">
        <v>35</v>
      </c>
      <c r="I109" t="s">
        <v>173</v>
      </c>
      <c r="J109" t="s">
        <v>331</v>
      </c>
      <c r="K109" t="str">
        <f>"zifd -25162"</f>
        <v>0</v>
      </c>
      <c r="L109">
        <v>440000</v>
      </c>
      <c r="M109"/>
      <c r="N109" t="s">
        <v>38</v>
      </c>
      <c r="O109" t="s">
        <v>38</v>
      </c>
      <c r="P109" t="s">
        <v>53</v>
      </c>
      <c r="Q109" t="s">
        <v>38</v>
      </c>
      <c r="R109" t="s">
        <v>38</v>
      </c>
      <c r="S109" t="s">
        <v>42</v>
      </c>
      <c r="T109" t="s">
        <v>42</v>
      </c>
      <c r="U109" t="s">
        <v>329</v>
      </c>
      <c r="V109" t="s">
        <v>44</v>
      </c>
      <c r="W109" t="s">
        <v>329</v>
      </c>
      <c r="X109" t="s">
        <v>45</v>
      </c>
      <c r="Y109" t="s">
        <v>308</v>
      </c>
      <c r="Z109" t="s">
        <v>47</v>
      </c>
      <c r="AA109"/>
      <c r="AB109"/>
      <c r="AC109"/>
      <c r="AD109"/>
    </row>
    <row r="110" spans="1:30">
      <c r="A110">
        <v>2110060437</v>
      </c>
      <c r="B110" t="s">
        <v>30</v>
      </c>
      <c r="C110" t="s">
        <v>31</v>
      </c>
      <c r="D110" t="s">
        <v>32</v>
      </c>
      <c r="E110" t="s">
        <v>198</v>
      </c>
      <c r="F110" t="s">
        <v>48</v>
      </c>
      <c r="G110" t="s">
        <v>332</v>
      </c>
      <c r="H110" t="s">
        <v>35</v>
      </c>
      <c r="I110" t="s">
        <v>173</v>
      </c>
      <c r="J110" t="s">
        <v>333</v>
      </c>
      <c r="K110" t="str">
        <f>"zifp 26111"</f>
        <v>0</v>
      </c>
      <c r="L110">
        <v>265000</v>
      </c>
      <c r="M110"/>
      <c r="N110" t="s">
        <v>38</v>
      </c>
      <c r="O110" t="s">
        <v>38</v>
      </c>
      <c r="P110" t="s">
        <v>53</v>
      </c>
      <c r="Q110" t="s">
        <v>38</v>
      </c>
      <c r="R110" t="s">
        <v>38</v>
      </c>
      <c r="S110" t="s">
        <v>42</v>
      </c>
      <c r="T110" t="s">
        <v>42</v>
      </c>
      <c r="U110" t="s">
        <v>329</v>
      </c>
      <c r="V110" t="s">
        <v>44</v>
      </c>
      <c r="W110" t="s">
        <v>329</v>
      </c>
      <c r="X110" t="s">
        <v>45</v>
      </c>
      <c r="Y110" t="s">
        <v>308</v>
      </c>
      <c r="Z110" t="s">
        <v>47</v>
      </c>
      <c r="AA110"/>
      <c r="AB110"/>
      <c r="AC110"/>
      <c r="AD110"/>
    </row>
    <row r="111" spans="1:30">
      <c r="A111">
        <v>2110060428</v>
      </c>
      <c r="B111" t="s">
        <v>30</v>
      </c>
      <c r="C111" t="s">
        <v>31</v>
      </c>
      <c r="D111" t="s">
        <v>32</v>
      </c>
      <c r="E111" t="s">
        <v>198</v>
      </c>
      <c r="F111" t="s">
        <v>48</v>
      </c>
      <c r="G111" t="s">
        <v>334</v>
      </c>
      <c r="H111" t="s">
        <v>35</v>
      </c>
      <c r="I111" t="s">
        <v>306</v>
      </c>
      <c r="J111">
        <v>1384</v>
      </c>
      <c r="K111" t="str">
        <f>"1384m321051301"</f>
        <v>0</v>
      </c>
      <c r="L111">
        <v>120000</v>
      </c>
      <c r="M111"/>
      <c r="N111" t="s">
        <v>38</v>
      </c>
      <c r="O111" t="s">
        <v>38</v>
      </c>
      <c r="P111" t="s">
        <v>53</v>
      </c>
      <c r="Q111" t="s">
        <v>38</v>
      </c>
      <c r="R111" t="s">
        <v>38</v>
      </c>
      <c r="S111" t="s">
        <v>42</v>
      </c>
      <c r="T111" t="s">
        <v>42</v>
      </c>
      <c r="U111" t="s">
        <v>335</v>
      </c>
      <c r="V111" t="s">
        <v>44</v>
      </c>
      <c r="W111" t="s">
        <v>335</v>
      </c>
      <c r="X111" t="s">
        <v>45</v>
      </c>
      <c r="Y111" t="s">
        <v>308</v>
      </c>
      <c r="Z111" t="s">
        <v>47</v>
      </c>
      <c r="AA111"/>
      <c r="AB111"/>
      <c r="AC111"/>
      <c r="AD111"/>
    </row>
    <row r="112" spans="1:30">
      <c r="A112">
        <v>2110060438</v>
      </c>
      <c r="B112" t="s">
        <v>30</v>
      </c>
      <c r="C112" t="s">
        <v>31</v>
      </c>
      <c r="D112" t="s">
        <v>32</v>
      </c>
      <c r="E112" t="s">
        <v>198</v>
      </c>
      <c r="F112" t="s">
        <v>56</v>
      </c>
      <c r="G112" t="s">
        <v>57</v>
      </c>
      <c r="H112" t="s">
        <v>50</v>
      </c>
      <c r="I112" t="s">
        <v>336</v>
      </c>
      <c r="J112" t="s">
        <v>337</v>
      </c>
      <c r="K112" t="str">
        <f>"2k2111026"</f>
        <v>0</v>
      </c>
      <c r="L112">
        <v>188800</v>
      </c>
      <c r="M112"/>
      <c r="N112" t="s">
        <v>38</v>
      </c>
      <c r="O112" t="s">
        <v>38</v>
      </c>
      <c r="P112" t="s">
        <v>53</v>
      </c>
      <c r="Q112" t="s">
        <v>38</v>
      </c>
      <c r="R112" t="s">
        <v>38</v>
      </c>
      <c r="S112" t="s">
        <v>42</v>
      </c>
      <c r="T112" t="s">
        <v>42</v>
      </c>
      <c r="U112" t="s">
        <v>335</v>
      </c>
      <c r="V112" t="s">
        <v>225</v>
      </c>
      <c r="W112" t="s">
        <v>335</v>
      </c>
      <c r="X112" t="s">
        <v>45</v>
      </c>
      <c r="Y112" t="s">
        <v>338</v>
      </c>
      <c r="Z112" t="s">
        <v>47</v>
      </c>
      <c r="AA112"/>
      <c r="AB112"/>
      <c r="AC112"/>
      <c r="AD112"/>
    </row>
    <row r="113" spans="1:30">
      <c r="A113">
        <v>3110100270</v>
      </c>
      <c r="B113" t="s">
        <v>30</v>
      </c>
      <c r="C113" t="s">
        <v>61</v>
      </c>
      <c r="D113" t="s">
        <v>71</v>
      </c>
      <c r="E113" t="s">
        <v>339</v>
      </c>
      <c r="F113" t="s">
        <v>340</v>
      </c>
      <c r="G113" t="s">
        <v>341</v>
      </c>
      <c r="H113" t="s">
        <v>50</v>
      </c>
      <c r="I113" t="s">
        <v>342</v>
      </c>
      <c r="J113" t="s">
        <v>343</v>
      </c>
      <c r="K113" t="str">
        <f>"na"</f>
        <v>0</v>
      </c>
      <c r="L113">
        <v>19642</v>
      </c>
      <c r="M113"/>
      <c r="N113" t="s">
        <v>38</v>
      </c>
      <c r="O113" t="s">
        <v>38</v>
      </c>
      <c r="P113" t="s">
        <v>53</v>
      </c>
      <c r="Q113" t="s">
        <v>38</v>
      </c>
      <c r="R113" t="s">
        <v>38</v>
      </c>
      <c r="S113" t="s">
        <v>266</v>
      </c>
      <c r="T113" t="s">
        <v>266</v>
      </c>
      <c r="U113" t="s">
        <v>308</v>
      </c>
      <c r="V113" t="s">
        <v>77</v>
      </c>
      <c r="W113" t="s">
        <v>308</v>
      </c>
      <c r="X113" t="s">
        <v>45</v>
      </c>
      <c r="Y113" t="s">
        <v>296</v>
      </c>
      <c r="Z113" t="s">
        <v>70</v>
      </c>
      <c r="AA113"/>
      <c r="AB113"/>
      <c r="AC113"/>
      <c r="AD113"/>
    </row>
    <row r="114" spans="1:30">
      <c r="A114">
        <v>3110100269</v>
      </c>
      <c r="B114" t="s">
        <v>30</v>
      </c>
      <c r="C114" t="s">
        <v>61</v>
      </c>
      <c r="D114" t="s">
        <v>71</v>
      </c>
      <c r="E114" t="s">
        <v>344</v>
      </c>
      <c r="F114" t="s">
        <v>64</v>
      </c>
      <c r="G114" t="s">
        <v>345</v>
      </c>
      <c r="H114" t="s">
        <v>35</v>
      </c>
      <c r="I114" t="s">
        <v>64</v>
      </c>
      <c r="J114" t="s">
        <v>315</v>
      </c>
      <c r="K114" t="str">
        <f>"na"</f>
        <v>0</v>
      </c>
      <c r="L114">
        <v>183380</v>
      </c>
      <c r="M114"/>
      <c r="N114" t="s">
        <v>38</v>
      </c>
      <c r="O114" t="s">
        <v>38</v>
      </c>
      <c r="P114" t="s">
        <v>53</v>
      </c>
      <c r="Q114" t="s">
        <v>38</v>
      </c>
      <c r="R114" t="s">
        <v>38</v>
      </c>
      <c r="S114" t="s">
        <v>42</v>
      </c>
      <c r="T114" t="s">
        <v>42</v>
      </c>
      <c r="U114" t="s">
        <v>346</v>
      </c>
      <c r="V114" t="s">
        <v>77</v>
      </c>
      <c r="W114" t="s">
        <v>346</v>
      </c>
      <c r="X114" t="s">
        <v>45</v>
      </c>
      <c r="Y114" t="s">
        <v>347</v>
      </c>
      <c r="Z114" t="s">
        <v>47</v>
      </c>
      <c r="AA114"/>
      <c r="AB114"/>
      <c r="AC114"/>
      <c r="AD114"/>
    </row>
    <row r="115" spans="1:30">
      <c r="A115">
        <v>4110030035</v>
      </c>
      <c r="B115" t="s">
        <v>30</v>
      </c>
      <c r="C115" t="s">
        <v>88</v>
      </c>
      <c r="D115" t="s">
        <v>89</v>
      </c>
      <c r="E115" t="s">
        <v>348</v>
      </c>
      <c r="F115" t="s">
        <v>147</v>
      </c>
      <c r="G115" t="s">
        <v>148</v>
      </c>
      <c r="H115" t="s">
        <v>35</v>
      </c>
      <c r="I115" t="s">
        <v>262</v>
      </c>
      <c r="J115" t="s">
        <v>349</v>
      </c>
      <c r="K115" t="str">
        <f>"2k1207521189-p"</f>
        <v>0</v>
      </c>
      <c r="L115">
        <v>24581</v>
      </c>
      <c r="M115"/>
      <c r="N115" t="s">
        <v>38</v>
      </c>
      <c r="O115" t="s">
        <v>38</v>
      </c>
      <c r="P115" t="s">
        <v>53</v>
      </c>
      <c r="Q115" t="s">
        <v>38</v>
      </c>
      <c r="R115" t="s">
        <v>38</v>
      </c>
      <c r="S115" t="s">
        <v>68</v>
      </c>
      <c r="T115" t="s">
        <v>42</v>
      </c>
      <c r="U115" t="s">
        <v>347</v>
      </c>
      <c r="V115" t="s">
        <v>44</v>
      </c>
      <c r="W115" t="s">
        <v>347</v>
      </c>
      <c r="X115" t="s">
        <v>350</v>
      </c>
      <c r="Y115" t="s">
        <v>304</v>
      </c>
      <c r="Z115" t="s">
        <v>47</v>
      </c>
      <c r="AA115"/>
      <c r="AB115"/>
      <c r="AC115"/>
      <c r="AD115" t="s">
        <v>351</v>
      </c>
    </row>
    <row r="116" spans="1:30">
      <c r="A116">
        <v>3110090094</v>
      </c>
      <c r="B116" t="s">
        <v>30</v>
      </c>
      <c r="C116" t="s">
        <v>61</v>
      </c>
      <c r="D116" t="s">
        <v>133</v>
      </c>
      <c r="E116" t="s">
        <v>146</v>
      </c>
      <c r="F116" t="s">
        <v>147</v>
      </c>
      <c r="G116" t="s">
        <v>148</v>
      </c>
      <c r="H116" t="s">
        <v>35</v>
      </c>
      <c r="I116" t="s">
        <v>149</v>
      </c>
      <c r="J116"/>
      <c r="K116" t="str">
        <f>"v301A1911034"</f>
        <v>0</v>
      </c>
      <c r="L116">
        <v>47952</v>
      </c>
      <c r="M116"/>
      <c r="N116" t="s">
        <v>38</v>
      </c>
      <c r="O116" t="s">
        <v>38</v>
      </c>
      <c r="P116" t="s">
        <v>53</v>
      </c>
      <c r="Q116" t="s">
        <v>38</v>
      </c>
      <c r="R116" t="s">
        <v>38</v>
      </c>
      <c r="S116" t="s">
        <v>42</v>
      </c>
      <c r="T116" t="s">
        <v>42</v>
      </c>
      <c r="U116" t="s">
        <v>352</v>
      </c>
      <c r="V116" t="s">
        <v>44</v>
      </c>
      <c r="W116" t="s">
        <v>352</v>
      </c>
      <c r="X116" t="s">
        <v>45</v>
      </c>
      <c r="Y116" t="s">
        <v>353</v>
      </c>
      <c r="Z116" t="s">
        <v>47</v>
      </c>
      <c r="AA116"/>
      <c r="AB116"/>
      <c r="AC116"/>
      <c r="AD116"/>
    </row>
    <row r="117" spans="1:30">
      <c r="A117">
        <v>3110090092</v>
      </c>
      <c r="B117" t="s">
        <v>30</v>
      </c>
      <c r="C117" t="s">
        <v>61</v>
      </c>
      <c r="D117" t="s">
        <v>133</v>
      </c>
      <c r="E117" t="s">
        <v>48</v>
      </c>
      <c r="F117" t="s">
        <v>48</v>
      </c>
      <c r="G117" t="s">
        <v>85</v>
      </c>
      <c r="H117" t="s">
        <v>50</v>
      </c>
      <c r="I117" t="s">
        <v>354</v>
      </c>
      <c r="J117" t="s">
        <v>315</v>
      </c>
      <c r="K117" t="str">
        <f>"B-11759"</f>
        <v>0</v>
      </c>
      <c r="L117">
        <v>30000</v>
      </c>
      <c r="M117"/>
      <c r="N117" t="s">
        <v>38</v>
      </c>
      <c r="O117" t="s">
        <v>38</v>
      </c>
      <c r="P117" t="s">
        <v>53</v>
      </c>
      <c r="Q117" t="s">
        <v>38</v>
      </c>
      <c r="R117" t="s">
        <v>38</v>
      </c>
      <c r="S117" t="s">
        <v>42</v>
      </c>
      <c r="T117" t="s">
        <v>42</v>
      </c>
      <c r="U117" t="s">
        <v>352</v>
      </c>
      <c r="V117" t="s">
        <v>44</v>
      </c>
      <c r="W117" t="s">
        <v>352</v>
      </c>
      <c r="X117" t="s">
        <v>45</v>
      </c>
      <c r="Y117" t="s">
        <v>293</v>
      </c>
      <c r="Z117" t="s">
        <v>47</v>
      </c>
      <c r="AA117"/>
      <c r="AB117"/>
      <c r="AC117"/>
      <c r="AD117"/>
    </row>
    <row r="118" spans="1:30">
      <c r="A118">
        <v>2110060271</v>
      </c>
      <c r="B118" t="s">
        <v>30</v>
      </c>
      <c r="C118" t="s">
        <v>31</v>
      </c>
      <c r="D118" t="s">
        <v>32</v>
      </c>
      <c r="E118" t="s">
        <v>93</v>
      </c>
      <c r="F118" t="s">
        <v>194</v>
      </c>
      <c r="G118" t="s">
        <v>195</v>
      </c>
      <c r="H118" t="s">
        <v>50</v>
      </c>
      <c r="I118" t="s">
        <v>355</v>
      </c>
      <c r="J118" t="s">
        <v>356</v>
      </c>
      <c r="K118" t="str">
        <f>"9135012113909"</f>
        <v>0</v>
      </c>
      <c r="L118">
        <v>39500</v>
      </c>
      <c r="M118"/>
      <c r="N118" t="s">
        <v>38</v>
      </c>
      <c r="O118" t="s">
        <v>38</v>
      </c>
      <c r="P118" t="s">
        <v>53</v>
      </c>
      <c r="Q118" t="s">
        <v>38</v>
      </c>
      <c r="R118" t="s">
        <v>38</v>
      </c>
      <c r="S118" t="s">
        <v>42</v>
      </c>
      <c r="T118" t="s">
        <v>42</v>
      </c>
      <c r="U118" t="s">
        <v>357</v>
      </c>
      <c r="V118" t="s">
        <v>44</v>
      </c>
      <c r="W118" t="s">
        <v>357</v>
      </c>
      <c r="X118" t="s">
        <v>45</v>
      </c>
      <c r="Y118" t="s">
        <v>358</v>
      </c>
      <c r="Z118" t="s">
        <v>47</v>
      </c>
      <c r="AA118"/>
      <c r="AB118"/>
      <c r="AC118"/>
      <c r="AD118"/>
    </row>
    <row r="119" spans="1:30">
      <c r="A119">
        <v>2110060350</v>
      </c>
      <c r="B119" t="s">
        <v>30</v>
      </c>
      <c r="C119" t="s">
        <v>31</v>
      </c>
      <c r="D119" t="s">
        <v>32</v>
      </c>
      <c r="E119" t="s">
        <v>359</v>
      </c>
      <c r="F119" t="s">
        <v>147</v>
      </c>
      <c r="G119" t="s">
        <v>360</v>
      </c>
      <c r="H119" t="s">
        <v>35</v>
      </c>
      <c r="I119" t="s">
        <v>361</v>
      </c>
      <c r="J119" t="s">
        <v>362</v>
      </c>
      <c r="K119" t="str">
        <f>"Us00104607"</f>
        <v>0</v>
      </c>
      <c r="L119">
        <v>200900</v>
      </c>
      <c r="M119"/>
      <c r="N119" t="s">
        <v>38</v>
      </c>
      <c r="O119" t="s">
        <v>38</v>
      </c>
      <c r="P119" t="s">
        <v>53</v>
      </c>
      <c r="Q119" t="s">
        <v>38</v>
      </c>
      <c r="R119" t="s">
        <v>38</v>
      </c>
      <c r="S119" t="s">
        <v>42</v>
      </c>
      <c r="T119" t="s">
        <v>42</v>
      </c>
      <c r="U119" t="s">
        <v>357</v>
      </c>
      <c r="V119" t="s">
        <v>44</v>
      </c>
      <c r="W119" t="s">
        <v>357</v>
      </c>
      <c r="X119" t="s">
        <v>45</v>
      </c>
      <c r="Y119" t="s">
        <v>358</v>
      </c>
      <c r="Z119" t="s">
        <v>47</v>
      </c>
      <c r="AA119"/>
      <c r="AB119"/>
      <c r="AC119"/>
      <c r="AD119"/>
    </row>
    <row r="120" spans="1:30">
      <c r="A120">
        <v>3110100233</v>
      </c>
      <c r="B120" t="s">
        <v>30</v>
      </c>
      <c r="C120" t="s">
        <v>61</v>
      </c>
      <c r="D120" t="s">
        <v>71</v>
      </c>
      <c r="E120" t="s">
        <v>79</v>
      </c>
      <c r="F120" t="s">
        <v>166</v>
      </c>
      <c r="G120" t="s">
        <v>363</v>
      </c>
      <c r="H120" t="s">
        <v>50</v>
      </c>
      <c r="I120" t="s">
        <v>311</v>
      </c>
      <c r="J120" t="s">
        <v>364</v>
      </c>
      <c r="K120" t="str">
        <f>"DE65938293"</f>
        <v>0</v>
      </c>
      <c r="L120">
        <v>485000</v>
      </c>
      <c r="M120"/>
      <c r="N120" t="s">
        <v>38</v>
      </c>
      <c r="O120" t="s">
        <v>38</v>
      </c>
      <c r="P120" t="s">
        <v>53</v>
      </c>
      <c r="Q120" t="s">
        <v>365</v>
      </c>
      <c r="R120" t="s">
        <v>366</v>
      </c>
      <c r="S120" t="s">
        <v>42</v>
      </c>
      <c r="T120" t="s">
        <v>42</v>
      </c>
      <c r="U120" t="s">
        <v>357</v>
      </c>
      <c r="V120" t="s">
        <v>77</v>
      </c>
      <c r="W120" t="s">
        <v>357</v>
      </c>
      <c r="X120" t="s">
        <v>45</v>
      </c>
      <c r="Y120" t="s">
        <v>367</v>
      </c>
      <c r="Z120" t="s">
        <v>47</v>
      </c>
      <c r="AA120"/>
      <c r="AB120"/>
      <c r="AC120"/>
      <c r="AD120"/>
    </row>
    <row r="121" spans="1:30">
      <c r="A121">
        <v>2110060164</v>
      </c>
      <c r="B121" t="s">
        <v>30</v>
      </c>
      <c r="C121" t="s">
        <v>31</v>
      </c>
      <c r="D121" t="s">
        <v>32</v>
      </c>
      <c r="E121" t="s">
        <v>93</v>
      </c>
      <c r="F121" t="s">
        <v>94</v>
      </c>
      <c r="G121" t="s">
        <v>95</v>
      </c>
      <c r="H121" t="s">
        <v>35</v>
      </c>
      <c r="I121" t="s">
        <v>82</v>
      </c>
      <c r="J121" t="s">
        <v>368</v>
      </c>
      <c r="K121" t="str">
        <f>"14504"</f>
        <v>0</v>
      </c>
      <c r="L121">
        <v>69636</v>
      </c>
      <c r="M121"/>
      <c r="N121" t="s">
        <v>38</v>
      </c>
      <c r="O121" t="s">
        <v>38</v>
      </c>
      <c r="P121" t="s">
        <v>53</v>
      </c>
      <c r="Q121" t="s">
        <v>38</v>
      </c>
      <c r="R121" t="s">
        <v>38</v>
      </c>
      <c r="S121" t="s">
        <v>42</v>
      </c>
      <c r="T121" t="s">
        <v>42</v>
      </c>
      <c r="U121" t="s">
        <v>357</v>
      </c>
      <c r="V121" t="s">
        <v>44</v>
      </c>
      <c r="W121" t="s">
        <v>357</v>
      </c>
      <c r="X121" t="s">
        <v>45</v>
      </c>
      <c r="Y121" t="s">
        <v>358</v>
      </c>
      <c r="Z121" t="s">
        <v>47</v>
      </c>
      <c r="AA121"/>
      <c r="AB121"/>
      <c r="AC121"/>
      <c r="AD121"/>
    </row>
    <row r="122" spans="1:30">
      <c r="A122">
        <v>3110100225</v>
      </c>
      <c r="B122" t="s">
        <v>30</v>
      </c>
      <c r="C122" t="s">
        <v>61</v>
      </c>
      <c r="D122" t="s">
        <v>71</v>
      </c>
      <c r="E122" t="s">
        <v>79</v>
      </c>
      <c r="F122" t="s">
        <v>94</v>
      </c>
      <c r="G122" t="s">
        <v>95</v>
      </c>
      <c r="H122" t="s">
        <v>35</v>
      </c>
      <c r="I122" t="s">
        <v>96</v>
      </c>
      <c r="J122" t="s">
        <v>369</v>
      </c>
      <c r="K122" t="str">
        <f>"IW0422005028/1"</f>
        <v>0</v>
      </c>
      <c r="L122">
        <v>28200</v>
      </c>
      <c r="M122"/>
      <c r="N122" t="s">
        <v>38</v>
      </c>
      <c r="O122" t="s">
        <v>38</v>
      </c>
      <c r="P122" t="s">
        <v>53</v>
      </c>
      <c r="Q122" t="s">
        <v>365</v>
      </c>
      <c r="R122" t="s">
        <v>366</v>
      </c>
      <c r="S122" t="s">
        <v>68</v>
      </c>
      <c r="T122" t="s">
        <v>42</v>
      </c>
      <c r="U122" t="s">
        <v>357</v>
      </c>
      <c r="V122" t="s">
        <v>77</v>
      </c>
      <c r="W122" t="s">
        <v>357</v>
      </c>
      <c r="X122" t="s">
        <v>45</v>
      </c>
      <c r="Y122" t="s">
        <v>370</v>
      </c>
      <c r="Z122" t="s">
        <v>47</v>
      </c>
      <c r="AA122"/>
      <c r="AB122"/>
      <c r="AC122"/>
      <c r="AD122"/>
    </row>
    <row r="123" spans="1:30">
      <c r="A123">
        <v>3110100238</v>
      </c>
      <c r="B123" t="s">
        <v>30</v>
      </c>
      <c r="C123" t="s">
        <v>61</v>
      </c>
      <c r="D123" t="s">
        <v>71</v>
      </c>
      <c r="E123" t="s">
        <v>371</v>
      </c>
      <c r="F123" t="s">
        <v>94</v>
      </c>
      <c r="G123" t="s">
        <v>95</v>
      </c>
      <c r="H123" t="s">
        <v>35</v>
      </c>
      <c r="I123" t="s">
        <v>96</v>
      </c>
      <c r="J123" t="s">
        <v>369</v>
      </c>
      <c r="K123" t="str">
        <f>"5027/17"</f>
        <v>0</v>
      </c>
      <c r="L123">
        <v>28200</v>
      </c>
      <c r="M123"/>
      <c r="N123" t="s">
        <v>38</v>
      </c>
      <c r="O123" t="s">
        <v>38</v>
      </c>
      <c r="P123" t="s">
        <v>53</v>
      </c>
      <c r="Q123" t="s">
        <v>365</v>
      </c>
      <c r="R123" t="s">
        <v>366</v>
      </c>
      <c r="S123" t="s">
        <v>42</v>
      </c>
      <c r="T123" t="s">
        <v>42</v>
      </c>
      <c r="U123" t="s">
        <v>357</v>
      </c>
      <c r="V123" t="s">
        <v>77</v>
      </c>
      <c r="W123" t="s">
        <v>357</v>
      </c>
      <c r="X123" t="s">
        <v>45</v>
      </c>
      <c r="Y123" t="s">
        <v>367</v>
      </c>
      <c r="Z123" t="s">
        <v>47</v>
      </c>
      <c r="AA123"/>
      <c r="AB123"/>
      <c r="AC123"/>
      <c r="AD123"/>
    </row>
    <row r="124" spans="1:30">
      <c r="A124">
        <v>2110060213</v>
      </c>
      <c r="B124" t="s">
        <v>30</v>
      </c>
      <c r="C124" t="s">
        <v>31</v>
      </c>
      <c r="D124" t="s">
        <v>32</v>
      </c>
      <c r="E124" t="s">
        <v>79</v>
      </c>
      <c r="F124" t="s">
        <v>108</v>
      </c>
      <c r="G124" t="s">
        <v>109</v>
      </c>
      <c r="H124" t="s">
        <v>50</v>
      </c>
      <c r="I124" t="s">
        <v>372</v>
      </c>
      <c r="J124" t="s">
        <v>59</v>
      </c>
      <c r="K124" t="str">
        <f>"na"</f>
        <v>0</v>
      </c>
      <c r="L124">
        <v>10000</v>
      </c>
      <c r="M124"/>
      <c r="N124" t="s">
        <v>38</v>
      </c>
      <c r="O124" t="s">
        <v>38</v>
      </c>
      <c r="P124" t="s">
        <v>53</v>
      </c>
      <c r="Q124" t="s">
        <v>38</v>
      </c>
      <c r="R124" t="s">
        <v>38</v>
      </c>
      <c r="S124" t="s">
        <v>42</v>
      </c>
      <c r="T124" t="s">
        <v>42</v>
      </c>
      <c r="U124" t="s">
        <v>357</v>
      </c>
      <c r="V124" t="s">
        <v>44</v>
      </c>
      <c r="W124" t="s">
        <v>357</v>
      </c>
      <c r="X124" t="s">
        <v>45</v>
      </c>
      <c r="Y124" t="s">
        <v>358</v>
      </c>
      <c r="Z124" t="s">
        <v>47</v>
      </c>
      <c r="AA124"/>
      <c r="AB124"/>
      <c r="AC124"/>
      <c r="AD124"/>
    </row>
    <row r="125" spans="1:30">
      <c r="A125">
        <v>3110100219</v>
      </c>
      <c r="B125" t="s">
        <v>30</v>
      </c>
      <c r="C125" t="s">
        <v>61</v>
      </c>
      <c r="D125" t="s">
        <v>71</v>
      </c>
      <c r="E125" t="s">
        <v>373</v>
      </c>
      <c r="F125" t="s">
        <v>64</v>
      </c>
      <c r="G125" t="s">
        <v>99</v>
      </c>
      <c r="H125" t="s">
        <v>50</v>
      </c>
      <c r="I125" t="s">
        <v>102</v>
      </c>
      <c r="J125" t="s">
        <v>374</v>
      </c>
      <c r="K125" t="str">
        <f>"MA21050561763"</f>
        <v>0</v>
      </c>
      <c r="L125">
        <v>77650</v>
      </c>
      <c r="M125"/>
      <c r="N125" t="s">
        <v>38</v>
      </c>
      <c r="O125" t="s">
        <v>38</v>
      </c>
      <c r="P125" t="s">
        <v>53</v>
      </c>
      <c r="Q125" t="s">
        <v>38</v>
      </c>
      <c r="R125" t="s">
        <v>38</v>
      </c>
      <c r="S125" t="s">
        <v>42</v>
      </c>
      <c r="T125" t="s">
        <v>42</v>
      </c>
      <c r="U125" t="s">
        <v>357</v>
      </c>
      <c r="V125" t="s">
        <v>77</v>
      </c>
      <c r="W125" t="s">
        <v>357</v>
      </c>
      <c r="X125" t="s">
        <v>45</v>
      </c>
      <c r="Y125" t="s">
        <v>370</v>
      </c>
      <c r="Z125" t="s">
        <v>47</v>
      </c>
      <c r="AA125"/>
      <c r="AB125"/>
      <c r="AC125"/>
      <c r="AD125"/>
    </row>
    <row r="126" spans="1:30">
      <c r="A126">
        <v>3110100220</v>
      </c>
      <c r="B126" t="s">
        <v>30</v>
      </c>
      <c r="C126" t="s">
        <v>61</v>
      </c>
      <c r="D126" t="s">
        <v>71</v>
      </c>
      <c r="E126" t="s">
        <v>373</v>
      </c>
      <c r="F126" t="s">
        <v>64</v>
      </c>
      <c r="G126" t="s">
        <v>99</v>
      </c>
      <c r="H126" t="s">
        <v>50</v>
      </c>
      <c r="I126" t="s">
        <v>102</v>
      </c>
      <c r="J126" t="s">
        <v>374</v>
      </c>
      <c r="K126" t="str">
        <f>"MA21050561727"</f>
        <v>0</v>
      </c>
      <c r="L126">
        <v>77650</v>
      </c>
      <c r="M126"/>
      <c r="N126" t="s">
        <v>38</v>
      </c>
      <c r="O126" t="s">
        <v>38</v>
      </c>
      <c r="P126" t="s">
        <v>53</v>
      </c>
      <c r="Q126" t="s">
        <v>38</v>
      </c>
      <c r="R126" t="s">
        <v>38</v>
      </c>
      <c r="S126" t="s">
        <v>42</v>
      </c>
      <c r="T126" t="s">
        <v>42</v>
      </c>
      <c r="U126" t="s">
        <v>357</v>
      </c>
      <c r="V126" t="s">
        <v>77</v>
      </c>
      <c r="W126" t="s">
        <v>357</v>
      </c>
      <c r="X126" t="s">
        <v>45</v>
      </c>
      <c r="Y126" t="s">
        <v>370</v>
      </c>
      <c r="Z126" t="s">
        <v>47</v>
      </c>
      <c r="AA126"/>
      <c r="AB126"/>
      <c r="AC126"/>
      <c r="AD126"/>
    </row>
    <row r="127" spans="1:30">
      <c r="A127">
        <v>3110100221</v>
      </c>
      <c r="B127" t="s">
        <v>30</v>
      </c>
      <c r="C127" t="s">
        <v>61</v>
      </c>
      <c r="D127" t="s">
        <v>71</v>
      </c>
      <c r="E127" t="s">
        <v>373</v>
      </c>
      <c r="F127" t="s">
        <v>64</v>
      </c>
      <c r="G127" t="s">
        <v>99</v>
      </c>
      <c r="H127" t="s">
        <v>50</v>
      </c>
      <c r="I127" t="s">
        <v>102</v>
      </c>
      <c r="J127" t="s">
        <v>374</v>
      </c>
      <c r="K127" t="str">
        <f>"MA21050561066"</f>
        <v>0</v>
      </c>
      <c r="L127">
        <v>77650</v>
      </c>
      <c r="M127"/>
      <c r="N127" t="s">
        <v>38</v>
      </c>
      <c r="O127" t="s">
        <v>38</v>
      </c>
      <c r="P127" t="s">
        <v>53</v>
      </c>
      <c r="Q127" t="s">
        <v>38</v>
      </c>
      <c r="R127" t="s">
        <v>38</v>
      </c>
      <c r="S127" t="s">
        <v>42</v>
      </c>
      <c r="T127" t="s">
        <v>42</v>
      </c>
      <c r="U127" t="s">
        <v>357</v>
      </c>
      <c r="V127" t="s">
        <v>77</v>
      </c>
      <c r="W127" t="s">
        <v>357</v>
      </c>
      <c r="X127" t="s">
        <v>45</v>
      </c>
      <c r="Y127" t="s">
        <v>370</v>
      </c>
      <c r="Z127" t="s">
        <v>47</v>
      </c>
      <c r="AA127"/>
      <c r="AB127"/>
      <c r="AC127"/>
      <c r="AD127"/>
    </row>
    <row r="128" spans="1:30">
      <c r="A128">
        <v>3110100222</v>
      </c>
      <c r="B128" t="s">
        <v>30</v>
      </c>
      <c r="C128" t="s">
        <v>61</v>
      </c>
      <c r="D128" t="s">
        <v>71</v>
      </c>
      <c r="E128" t="s">
        <v>373</v>
      </c>
      <c r="F128" t="s">
        <v>64</v>
      </c>
      <c r="G128" t="s">
        <v>99</v>
      </c>
      <c r="H128" t="s">
        <v>50</v>
      </c>
      <c r="I128" t="s">
        <v>375</v>
      </c>
      <c r="J128" t="s">
        <v>59</v>
      </c>
      <c r="K128" t="str">
        <f>"Na"</f>
        <v>0</v>
      </c>
      <c r="L128">
        <v>36000</v>
      </c>
      <c r="M128"/>
      <c r="N128" t="s">
        <v>38</v>
      </c>
      <c r="O128" t="s">
        <v>38</v>
      </c>
      <c r="P128" t="s">
        <v>53</v>
      </c>
      <c r="Q128" t="s">
        <v>38</v>
      </c>
      <c r="R128" t="s">
        <v>38</v>
      </c>
      <c r="S128" t="s">
        <v>42</v>
      </c>
      <c r="T128" t="s">
        <v>42</v>
      </c>
      <c r="U128" t="s">
        <v>357</v>
      </c>
      <c r="V128" t="s">
        <v>77</v>
      </c>
      <c r="W128" t="s">
        <v>357</v>
      </c>
      <c r="X128" t="s">
        <v>45</v>
      </c>
      <c r="Y128" t="s">
        <v>370</v>
      </c>
      <c r="Z128" t="s">
        <v>47</v>
      </c>
      <c r="AA128"/>
      <c r="AB128"/>
      <c r="AC128" t="s">
        <v>376</v>
      </c>
      <c r="AD128"/>
    </row>
    <row r="129" spans="1:30">
      <c r="A129">
        <v>3110100223</v>
      </c>
      <c r="B129" t="s">
        <v>30</v>
      </c>
      <c r="C129" t="s">
        <v>61</v>
      </c>
      <c r="D129" t="s">
        <v>71</v>
      </c>
      <c r="E129" t="s">
        <v>373</v>
      </c>
      <c r="F129" t="s">
        <v>64</v>
      </c>
      <c r="G129" t="s">
        <v>99</v>
      </c>
      <c r="H129" t="s">
        <v>50</v>
      </c>
      <c r="I129" t="s">
        <v>102</v>
      </c>
      <c r="J129" t="s">
        <v>374</v>
      </c>
      <c r="K129" t="str">
        <f>"na"</f>
        <v>0</v>
      </c>
      <c r="L129">
        <v>77650</v>
      </c>
      <c r="M129"/>
      <c r="N129" t="s">
        <v>38</v>
      </c>
      <c r="O129" t="s">
        <v>38</v>
      </c>
      <c r="P129" t="s">
        <v>53</v>
      </c>
      <c r="Q129" t="s">
        <v>38</v>
      </c>
      <c r="R129" t="s">
        <v>38</v>
      </c>
      <c r="S129" t="s">
        <v>42</v>
      </c>
      <c r="T129" t="s">
        <v>42</v>
      </c>
      <c r="U129" t="s">
        <v>357</v>
      </c>
      <c r="V129" t="s">
        <v>77</v>
      </c>
      <c r="W129" t="s">
        <v>357</v>
      </c>
      <c r="X129" t="s">
        <v>45</v>
      </c>
      <c r="Y129" t="s">
        <v>370</v>
      </c>
      <c r="Z129" t="s">
        <v>47</v>
      </c>
      <c r="AA129"/>
      <c r="AB129"/>
      <c r="AC129"/>
      <c r="AD129"/>
    </row>
    <row r="130" spans="1:30">
      <c r="A130">
        <v>3110100226</v>
      </c>
      <c r="B130" t="s">
        <v>30</v>
      </c>
      <c r="C130" t="s">
        <v>61</v>
      </c>
      <c r="D130" t="s">
        <v>71</v>
      </c>
      <c r="E130" t="s">
        <v>79</v>
      </c>
      <c r="F130" t="s">
        <v>143</v>
      </c>
      <c r="G130" t="s">
        <v>377</v>
      </c>
      <c r="H130" t="s">
        <v>50</v>
      </c>
      <c r="I130" t="s">
        <v>375</v>
      </c>
      <c r="J130" t="s">
        <v>378</v>
      </c>
      <c r="K130" t="str">
        <f>"na"</f>
        <v>0</v>
      </c>
      <c r="L130">
        <v>30000</v>
      </c>
      <c r="M130"/>
      <c r="N130" t="s">
        <v>38</v>
      </c>
      <c r="O130" t="s">
        <v>38</v>
      </c>
      <c r="P130" t="s">
        <v>53</v>
      </c>
      <c r="Q130" t="s">
        <v>365</v>
      </c>
      <c r="R130" t="s">
        <v>366</v>
      </c>
      <c r="S130" t="s">
        <v>42</v>
      </c>
      <c r="T130" t="s">
        <v>42</v>
      </c>
      <c r="U130" t="s">
        <v>379</v>
      </c>
      <c r="V130" t="s">
        <v>77</v>
      </c>
      <c r="W130" t="s">
        <v>379</v>
      </c>
      <c r="X130" t="s">
        <v>45</v>
      </c>
      <c r="Y130" t="s">
        <v>370</v>
      </c>
      <c r="Z130" t="s">
        <v>47</v>
      </c>
      <c r="AA130"/>
      <c r="AB130"/>
      <c r="AC130"/>
      <c r="AD130"/>
    </row>
    <row r="131" spans="1:30">
      <c r="A131">
        <v>3110100227</v>
      </c>
      <c r="B131" t="s">
        <v>30</v>
      </c>
      <c r="C131" t="s">
        <v>61</v>
      </c>
      <c r="D131" t="s">
        <v>71</v>
      </c>
      <c r="E131" t="s">
        <v>79</v>
      </c>
      <c r="F131" t="s">
        <v>143</v>
      </c>
      <c r="G131" t="s">
        <v>377</v>
      </c>
      <c r="H131" t="s">
        <v>50</v>
      </c>
      <c r="I131" t="s">
        <v>375</v>
      </c>
      <c r="J131" t="s">
        <v>378</v>
      </c>
      <c r="K131" t="str">
        <f>"na"</f>
        <v>0</v>
      </c>
      <c r="L131">
        <v>30000</v>
      </c>
      <c r="M131"/>
      <c r="N131" t="s">
        <v>38</v>
      </c>
      <c r="O131" t="s">
        <v>38</v>
      </c>
      <c r="P131" t="s">
        <v>53</v>
      </c>
      <c r="Q131" t="s">
        <v>365</v>
      </c>
      <c r="R131" t="s">
        <v>366</v>
      </c>
      <c r="S131" t="s">
        <v>42</v>
      </c>
      <c r="T131" t="s">
        <v>42</v>
      </c>
      <c r="U131" t="s">
        <v>379</v>
      </c>
      <c r="V131" t="s">
        <v>77</v>
      </c>
      <c r="W131" t="s">
        <v>379</v>
      </c>
      <c r="X131" t="s">
        <v>45</v>
      </c>
      <c r="Y131" t="s">
        <v>370</v>
      </c>
      <c r="Z131" t="s">
        <v>47</v>
      </c>
      <c r="AA131"/>
      <c r="AB131"/>
      <c r="AC131"/>
      <c r="AD131"/>
    </row>
    <row r="132" spans="1:30">
      <c r="A132">
        <v>3110100228</v>
      </c>
      <c r="B132" t="s">
        <v>30</v>
      </c>
      <c r="C132" t="s">
        <v>61</v>
      </c>
      <c r="D132" t="s">
        <v>71</v>
      </c>
      <c r="E132" t="s">
        <v>79</v>
      </c>
      <c r="F132" t="s">
        <v>143</v>
      </c>
      <c r="G132" t="s">
        <v>377</v>
      </c>
      <c r="H132" t="s">
        <v>50</v>
      </c>
      <c r="I132" t="s">
        <v>375</v>
      </c>
      <c r="J132" t="s">
        <v>315</v>
      </c>
      <c r="K132" t="str">
        <f>"NA"</f>
        <v>0</v>
      </c>
      <c r="L132">
        <v>30000</v>
      </c>
      <c r="M132"/>
      <c r="N132" t="s">
        <v>38</v>
      </c>
      <c r="O132" t="s">
        <v>38</v>
      </c>
      <c r="P132" t="s">
        <v>53</v>
      </c>
      <c r="Q132" t="s">
        <v>365</v>
      </c>
      <c r="R132" t="s">
        <v>380</v>
      </c>
      <c r="S132" t="s">
        <v>42</v>
      </c>
      <c r="T132" t="s">
        <v>42</v>
      </c>
      <c r="U132" t="s">
        <v>379</v>
      </c>
      <c r="V132" t="s">
        <v>77</v>
      </c>
      <c r="W132" t="s">
        <v>379</v>
      </c>
      <c r="X132" t="s">
        <v>45</v>
      </c>
      <c r="Y132" t="s">
        <v>367</v>
      </c>
      <c r="Z132" t="s">
        <v>47</v>
      </c>
      <c r="AA132"/>
      <c r="AB132"/>
      <c r="AC132"/>
      <c r="AD132"/>
    </row>
    <row r="133" spans="1:30">
      <c r="A133">
        <v>3110100239</v>
      </c>
      <c r="B133" t="s">
        <v>30</v>
      </c>
      <c r="C133" t="s">
        <v>61</v>
      </c>
      <c r="D133" t="s">
        <v>71</v>
      </c>
      <c r="E133" t="s">
        <v>371</v>
      </c>
      <c r="F133" t="s">
        <v>143</v>
      </c>
      <c r="G133" t="s">
        <v>381</v>
      </c>
      <c r="H133" t="s">
        <v>50</v>
      </c>
      <c r="I133" t="s">
        <v>382</v>
      </c>
      <c r="J133" t="s">
        <v>383</v>
      </c>
      <c r="K133" t="str">
        <f>"na"</f>
        <v>0</v>
      </c>
      <c r="L133">
        <v>436017</v>
      </c>
      <c r="M133"/>
      <c r="N133" t="s">
        <v>38</v>
      </c>
      <c r="O133" t="s">
        <v>38</v>
      </c>
      <c r="P133" t="s">
        <v>53</v>
      </c>
      <c r="Q133" t="s">
        <v>365</v>
      </c>
      <c r="R133" t="s">
        <v>366</v>
      </c>
      <c r="S133" t="s">
        <v>42</v>
      </c>
      <c r="T133" t="s">
        <v>42</v>
      </c>
      <c r="U133" t="s">
        <v>379</v>
      </c>
      <c r="V133" t="s">
        <v>77</v>
      </c>
      <c r="W133" t="s">
        <v>379</v>
      </c>
      <c r="X133" t="s">
        <v>45</v>
      </c>
      <c r="Y133" t="s">
        <v>367</v>
      </c>
      <c r="Z133" t="s">
        <v>47</v>
      </c>
      <c r="AA133"/>
      <c r="AB133"/>
      <c r="AC133"/>
      <c r="AD133"/>
    </row>
    <row r="134" spans="1:30">
      <c r="A134">
        <v>3110100242</v>
      </c>
      <c r="B134" t="s">
        <v>30</v>
      </c>
      <c r="C134" t="s">
        <v>61</v>
      </c>
      <c r="D134" t="s">
        <v>71</v>
      </c>
      <c r="E134" t="s">
        <v>371</v>
      </c>
      <c r="F134" t="s">
        <v>113</v>
      </c>
      <c r="G134" t="s">
        <v>114</v>
      </c>
      <c r="H134" t="s">
        <v>35</v>
      </c>
      <c r="I134" t="s">
        <v>141</v>
      </c>
      <c r="J134" t="s">
        <v>384</v>
      </c>
      <c r="K134" t="str">
        <f>"11508615"</f>
        <v>0</v>
      </c>
      <c r="L134">
        <v>557000</v>
      </c>
      <c r="M134"/>
      <c r="N134" t="s">
        <v>38</v>
      </c>
      <c r="O134" t="s">
        <v>38</v>
      </c>
      <c r="P134" t="s">
        <v>39</v>
      </c>
      <c r="Q134" t="s">
        <v>365</v>
      </c>
      <c r="R134" t="s">
        <v>385</v>
      </c>
      <c r="S134" t="s">
        <v>42</v>
      </c>
      <c r="T134" t="s">
        <v>42</v>
      </c>
      <c r="U134" t="s">
        <v>379</v>
      </c>
      <c r="V134" t="s">
        <v>77</v>
      </c>
      <c r="W134" t="s">
        <v>379</v>
      </c>
      <c r="X134" t="s">
        <v>45</v>
      </c>
      <c r="Y134" t="s">
        <v>386</v>
      </c>
      <c r="Z134" t="s">
        <v>47</v>
      </c>
      <c r="AA134"/>
      <c r="AB134"/>
      <c r="AC134"/>
      <c r="AD134"/>
    </row>
    <row r="135" spans="1:30">
      <c r="A135">
        <v>3110100244</v>
      </c>
      <c r="B135" t="s">
        <v>30</v>
      </c>
      <c r="C135" t="s">
        <v>61</v>
      </c>
      <c r="D135" t="s">
        <v>71</v>
      </c>
      <c r="E135" t="s">
        <v>371</v>
      </c>
      <c r="F135" t="s">
        <v>387</v>
      </c>
      <c r="G135" t="s">
        <v>388</v>
      </c>
      <c r="H135" t="s">
        <v>50</v>
      </c>
      <c r="I135" t="s">
        <v>389</v>
      </c>
      <c r="J135" t="s">
        <v>390</v>
      </c>
      <c r="K135" t="str">
        <f>"2108J5107"</f>
        <v>0</v>
      </c>
      <c r="L135">
        <v>642880</v>
      </c>
      <c r="M135"/>
      <c r="N135" t="s">
        <v>38</v>
      </c>
      <c r="O135" t="s">
        <v>38</v>
      </c>
      <c r="P135" t="s">
        <v>53</v>
      </c>
      <c r="Q135" t="s">
        <v>365</v>
      </c>
      <c r="R135" t="s">
        <v>366</v>
      </c>
      <c r="S135" t="s">
        <v>42</v>
      </c>
      <c r="T135" t="s">
        <v>42</v>
      </c>
      <c r="U135" t="s">
        <v>379</v>
      </c>
      <c r="V135" t="s">
        <v>77</v>
      </c>
      <c r="W135" t="s">
        <v>379</v>
      </c>
      <c r="X135" t="s">
        <v>45</v>
      </c>
      <c r="Y135" t="s">
        <v>386</v>
      </c>
      <c r="Z135" t="s">
        <v>47</v>
      </c>
      <c r="AA135"/>
      <c r="AB135"/>
      <c r="AC135"/>
      <c r="AD135"/>
    </row>
    <row r="136" spans="1:30">
      <c r="A136">
        <v>3110100237</v>
      </c>
      <c r="B136" t="s">
        <v>30</v>
      </c>
      <c r="C136" t="s">
        <v>61</v>
      </c>
      <c r="D136" t="s">
        <v>71</v>
      </c>
      <c r="E136" t="s">
        <v>371</v>
      </c>
      <c r="F136" t="s">
        <v>246</v>
      </c>
      <c r="G136" t="s">
        <v>247</v>
      </c>
      <c r="H136" t="s">
        <v>50</v>
      </c>
      <c r="I136" t="s">
        <v>302</v>
      </c>
      <c r="J136" t="s">
        <v>391</v>
      </c>
      <c r="K136" t="str">
        <f>"na"</f>
        <v>0</v>
      </c>
      <c r="L136">
        <v>73500</v>
      </c>
      <c r="M136"/>
      <c r="N136" t="s">
        <v>38</v>
      </c>
      <c r="O136" t="s">
        <v>38</v>
      </c>
      <c r="P136" t="s">
        <v>53</v>
      </c>
      <c r="Q136" t="s">
        <v>365</v>
      </c>
      <c r="R136" t="s">
        <v>366</v>
      </c>
      <c r="S136" t="s">
        <v>42</v>
      </c>
      <c r="T136" t="s">
        <v>42</v>
      </c>
      <c r="U136" t="s">
        <v>379</v>
      </c>
      <c r="V136" t="s">
        <v>77</v>
      </c>
      <c r="W136" t="s">
        <v>379</v>
      </c>
      <c r="X136" t="s">
        <v>45</v>
      </c>
      <c r="Y136" t="s">
        <v>367</v>
      </c>
      <c r="Z136" t="s">
        <v>47</v>
      </c>
      <c r="AA136"/>
      <c r="AB136"/>
      <c r="AC136"/>
      <c r="AD136"/>
    </row>
    <row r="137" spans="1:30">
      <c r="A137">
        <v>3110100007</v>
      </c>
      <c r="B137" t="s">
        <v>30</v>
      </c>
      <c r="C137" t="s">
        <v>61</v>
      </c>
      <c r="D137" t="s">
        <v>71</v>
      </c>
      <c r="E137" t="s">
        <v>55</v>
      </c>
      <c r="F137" t="s">
        <v>143</v>
      </c>
      <c r="G137" t="s">
        <v>392</v>
      </c>
      <c r="H137" t="s">
        <v>50</v>
      </c>
      <c r="I137" t="s">
        <v>393</v>
      </c>
      <c r="J137" t="s">
        <v>394</v>
      </c>
      <c r="K137" t="str">
        <f>"na"</f>
        <v>0</v>
      </c>
      <c r="L137">
        <v>73583</v>
      </c>
      <c r="M137"/>
      <c r="N137" t="s">
        <v>38</v>
      </c>
      <c r="O137" t="s">
        <v>38</v>
      </c>
      <c r="P137" t="s">
        <v>53</v>
      </c>
      <c r="Q137" t="s">
        <v>38</v>
      </c>
      <c r="R137" t="s">
        <v>38</v>
      </c>
      <c r="S137" t="s">
        <v>42</v>
      </c>
      <c r="T137" t="s">
        <v>42</v>
      </c>
      <c r="U137" t="s">
        <v>379</v>
      </c>
      <c r="V137" t="s">
        <v>395</v>
      </c>
      <c r="W137" t="s">
        <v>379</v>
      </c>
      <c r="X137" t="s">
        <v>45</v>
      </c>
      <c r="Y137" t="s">
        <v>396</v>
      </c>
      <c r="Z137" t="s">
        <v>47</v>
      </c>
      <c r="AA137"/>
      <c r="AB137"/>
      <c r="AC137"/>
      <c r="AD137" t="s">
        <v>397</v>
      </c>
    </row>
    <row r="138" spans="1:30">
      <c r="A138">
        <v>3110100236</v>
      </c>
      <c r="B138" t="s">
        <v>30</v>
      </c>
      <c r="C138" t="s">
        <v>61</v>
      </c>
      <c r="D138" t="s">
        <v>71</v>
      </c>
      <c r="E138" t="s">
        <v>371</v>
      </c>
      <c r="F138" t="s">
        <v>387</v>
      </c>
      <c r="G138" t="s">
        <v>388</v>
      </c>
      <c r="H138" t="s">
        <v>50</v>
      </c>
      <c r="I138" t="s">
        <v>389</v>
      </c>
      <c r="J138" t="s">
        <v>398</v>
      </c>
      <c r="K138" t="str">
        <f>"210J5108"</f>
        <v>0</v>
      </c>
      <c r="L138">
        <v>287000</v>
      </c>
      <c r="M138"/>
      <c r="N138" t="s">
        <v>38</v>
      </c>
      <c r="O138" t="s">
        <v>38</v>
      </c>
      <c r="P138" t="s">
        <v>53</v>
      </c>
      <c r="Q138" t="s">
        <v>365</v>
      </c>
      <c r="R138" t="s">
        <v>366</v>
      </c>
      <c r="S138" t="s">
        <v>42</v>
      </c>
      <c r="T138" t="s">
        <v>42</v>
      </c>
      <c r="U138" t="s">
        <v>379</v>
      </c>
      <c r="V138" t="s">
        <v>77</v>
      </c>
      <c r="W138" t="s">
        <v>379</v>
      </c>
      <c r="X138" t="s">
        <v>45</v>
      </c>
      <c r="Y138" t="s">
        <v>367</v>
      </c>
      <c r="Z138" t="s">
        <v>47</v>
      </c>
      <c r="AA138"/>
      <c r="AB138"/>
      <c r="AC138"/>
      <c r="AD138"/>
    </row>
    <row r="139" spans="1:30">
      <c r="A139">
        <v>3110100224</v>
      </c>
      <c r="B139" t="s">
        <v>30</v>
      </c>
      <c r="C139" t="s">
        <v>61</v>
      </c>
      <c r="D139" t="s">
        <v>71</v>
      </c>
      <c r="E139" t="s">
        <v>79</v>
      </c>
      <c r="F139" t="s">
        <v>166</v>
      </c>
      <c r="G139" t="s">
        <v>167</v>
      </c>
      <c r="H139" t="s">
        <v>35</v>
      </c>
      <c r="I139" t="s">
        <v>311</v>
      </c>
      <c r="J139" t="s">
        <v>312</v>
      </c>
      <c r="K139" t="str">
        <f>"DE671W3965"</f>
        <v>0</v>
      </c>
      <c r="L139">
        <v>529100</v>
      </c>
      <c r="M139"/>
      <c r="N139" t="s">
        <v>38</v>
      </c>
      <c r="O139" t="s">
        <v>38</v>
      </c>
      <c r="P139" t="s">
        <v>39</v>
      </c>
      <c r="Q139" t="s">
        <v>365</v>
      </c>
      <c r="R139" t="s">
        <v>385</v>
      </c>
      <c r="S139" t="s">
        <v>42</v>
      </c>
      <c r="T139" t="s">
        <v>42</v>
      </c>
      <c r="U139" t="s">
        <v>379</v>
      </c>
      <c r="V139" t="s">
        <v>77</v>
      </c>
      <c r="W139" t="s">
        <v>379</v>
      </c>
      <c r="X139" t="s">
        <v>45</v>
      </c>
      <c r="Y139" t="s">
        <v>370</v>
      </c>
      <c r="Z139" t="s">
        <v>47</v>
      </c>
      <c r="AA139"/>
      <c r="AB139"/>
      <c r="AC139"/>
      <c r="AD139"/>
    </row>
    <row r="140" spans="1:30">
      <c r="A140">
        <v>3110100234</v>
      </c>
      <c r="B140" t="s">
        <v>30</v>
      </c>
      <c r="C140" t="s">
        <v>61</v>
      </c>
      <c r="D140" t="s">
        <v>71</v>
      </c>
      <c r="E140" t="s">
        <v>79</v>
      </c>
      <c r="F140" t="s">
        <v>166</v>
      </c>
      <c r="G140" t="s">
        <v>167</v>
      </c>
      <c r="H140" t="s">
        <v>35</v>
      </c>
      <c r="I140" t="s">
        <v>311</v>
      </c>
      <c r="J140" t="s">
        <v>312</v>
      </c>
      <c r="K140" t="str">
        <f>"DE671W3953"</f>
        <v>0</v>
      </c>
      <c r="L140">
        <v>529100</v>
      </c>
      <c r="M140"/>
      <c r="N140" t="s">
        <v>38</v>
      </c>
      <c r="O140" t="s">
        <v>38</v>
      </c>
      <c r="P140" t="s">
        <v>39</v>
      </c>
      <c r="Q140" t="s">
        <v>365</v>
      </c>
      <c r="R140" t="s">
        <v>385</v>
      </c>
      <c r="S140" t="s">
        <v>42</v>
      </c>
      <c r="T140" t="s">
        <v>42</v>
      </c>
      <c r="U140" t="s">
        <v>379</v>
      </c>
      <c r="V140" t="s">
        <v>77</v>
      </c>
      <c r="W140" t="s">
        <v>379</v>
      </c>
      <c r="X140" t="s">
        <v>45</v>
      </c>
      <c r="Y140" t="s">
        <v>370</v>
      </c>
      <c r="Z140" t="s">
        <v>47</v>
      </c>
      <c r="AA140"/>
      <c r="AB140"/>
      <c r="AC140"/>
      <c r="AD140"/>
    </row>
    <row r="141" spans="1:30">
      <c r="A141">
        <v>3110100235</v>
      </c>
      <c r="B141" t="s">
        <v>30</v>
      </c>
      <c r="C141" t="s">
        <v>61</v>
      </c>
      <c r="D141" t="s">
        <v>71</v>
      </c>
      <c r="E141" t="s">
        <v>371</v>
      </c>
      <c r="F141" t="s">
        <v>166</v>
      </c>
      <c r="G141" t="s">
        <v>167</v>
      </c>
      <c r="H141" t="s">
        <v>35</v>
      </c>
      <c r="I141" t="s">
        <v>311</v>
      </c>
      <c r="J141" t="s">
        <v>399</v>
      </c>
      <c r="K141" t="str">
        <f>"DE671W3954"</f>
        <v>0</v>
      </c>
      <c r="L141">
        <v>529100</v>
      </c>
      <c r="M141"/>
      <c r="N141" t="s">
        <v>38</v>
      </c>
      <c r="O141" t="s">
        <v>38</v>
      </c>
      <c r="P141" t="s">
        <v>39</v>
      </c>
      <c r="Q141" t="s">
        <v>365</v>
      </c>
      <c r="R141" t="s">
        <v>385</v>
      </c>
      <c r="S141" t="s">
        <v>42</v>
      </c>
      <c r="T141" t="s">
        <v>42</v>
      </c>
      <c r="U141" t="s">
        <v>379</v>
      </c>
      <c r="V141" t="s">
        <v>77</v>
      </c>
      <c r="W141" t="s">
        <v>379</v>
      </c>
      <c r="X141" t="s">
        <v>45</v>
      </c>
      <c r="Y141" t="s">
        <v>386</v>
      </c>
      <c r="Z141" t="s">
        <v>47</v>
      </c>
      <c r="AA141"/>
      <c r="AB141"/>
      <c r="AC141"/>
      <c r="AD141"/>
    </row>
    <row r="142" spans="1:30">
      <c r="A142">
        <v>3110100243</v>
      </c>
      <c r="B142" t="s">
        <v>30</v>
      </c>
      <c r="C142" t="s">
        <v>61</v>
      </c>
      <c r="D142" t="s">
        <v>71</v>
      </c>
      <c r="E142" t="s">
        <v>371</v>
      </c>
      <c r="F142" t="s">
        <v>166</v>
      </c>
      <c r="G142" t="s">
        <v>167</v>
      </c>
      <c r="H142" t="s">
        <v>35</v>
      </c>
      <c r="I142" t="s">
        <v>311</v>
      </c>
      <c r="J142" t="s">
        <v>399</v>
      </c>
      <c r="K142" t="str">
        <f>"DE671W3998"</f>
        <v>0</v>
      </c>
      <c r="L142">
        <v>529100</v>
      </c>
      <c r="M142"/>
      <c r="N142" t="s">
        <v>38</v>
      </c>
      <c r="O142" t="s">
        <v>38</v>
      </c>
      <c r="P142" t="s">
        <v>39</v>
      </c>
      <c r="Q142" t="s">
        <v>365</v>
      </c>
      <c r="R142" t="s">
        <v>385</v>
      </c>
      <c r="S142" t="s">
        <v>42</v>
      </c>
      <c r="T142" t="s">
        <v>42</v>
      </c>
      <c r="U142" t="s">
        <v>379</v>
      </c>
      <c r="V142" t="s">
        <v>77</v>
      </c>
      <c r="W142" t="s">
        <v>379</v>
      </c>
      <c r="X142" t="s">
        <v>45</v>
      </c>
      <c r="Y142" t="s">
        <v>386</v>
      </c>
      <c r="Z142" t="s">
        <v>47</v>
      </c>
      <c r="AA142"/>
      <c r="AB142"/>
      <c r="AC142"/>
      <c r="AD142"/>
    </row>
    <row r="143" spans="1:30">
      <c r="A143">
        <v>3110100252</v>
      </c>
      <c r="B143" t="s">
        <v>30</v>
      </c>
      <c r="C143" t="s">
        <v>61</v>
      </c>
      <c r="D143" t="s">
        <v>71</v>
      </c>
      <c r="E143" t="s">
        <v>371</v>
      </c>
      <c r="F143" t="s">
        <v>166</v>
      </c>
      <c r="G143" t="s">
        <v>167</v>
      </c>
      <c r="H143" t="s">
        <v>35</v>
      </c>
      <c r="I143" t="s">
        <v>311</v>
      </c>
      <c r="J143" t="s">
        <v>399</v>
      </c>
      <c r="K143" t="str">
        <f>"DE671W3946"</f>
        <v>0</v>
      </c>
      <c r="L143">
        <v>529100</v>
      </c>
      <c r="M143"/>
      <c r="N143" t="s">
        <v>38</v>
      </c>
      <c r="O143" t="s">
        <v>38</v>
      </c>
      <c r="P143" t="s">
        <v>39</v>
      </c>
      <c r="Q143" t="s">
        <v>365</v>
      </c>
      <c r="R143" t="s">
        <v>385</v>
      </c>
      <c r="S143" t="s">
        <v>42</v>
      </c>
      <c r="T143" t="s">
        <v>42</v>
      </c>
      <c r="U143" t="s">
        <v>379</v>
      </c>
      <c r="V143" t="s">
        <v>77</v>
      </c>
      <c r="W143" t="s">
        <v>379</v>
      </c>
      <c r="X143" t="s">
        <v>45</v>
      </c>
      <c r="Y143" t="s">
        <v>386</v>
      </c>
      <c r="Z143" t="s">
        <v>47</v>
      </c>
      <c r="AA143"/>
      <c r="AB143"/>
      <c r="AC143"/>
      <c r="AD143"/>
    </row>
    <row r="144" spans="1:30">
      <c r="A144">
        <v>3110100248</v>
      </c>
      <c r="B144" t="s">
        <v>30</v>
      </c>
      <c r="C144" t="s">
        <v>61</v>
      </c>
      <c r="D144" t="s">
        <v>71</v>
      </c>
      <c r="E144" t="s">
        <v>371</v>
      </c>
      <c r="F144" t="s">
        <v>108</v>
      </c>
      <c r="G144" t="s">
        <v>109</v>
      </c>
      <c r="H144" t="s">
        <v>50</v>
      </c>
      <c r="I144" t="s">
        <v>110</v>
      </c>
      <c r="J144" t="s">
        <v>400</v>
      </c>
      <c r="K144" t="str">
        <f>"na"</f>
        <v>0</v>
      </c>
      <c r="L144">
        <v>12500</v>
      </c>
      <c r="M144"/>
      <c r="N144" t="s">
        <v>38</v>
      </c>
      <c r="O144" t="s">
        <v>38</v>
      </c>
      <c r="P144" t="s">
        <v>53</v>
      </c>
      <c r="Q144" t="s">
        <v>38</v>
      </c>
      <c r="R144" t="s">
        <v>38</v>
      </c>
      <c r="S144" t="s">
        <v>42</v>
      </c>
      <c r="T144" t="s">
        <v>42</v>
      </c>
      <c r="U144" t="s">
        <v>379</v>
      </c>
      <c r="V144" t="s">
        <v>77</v>
      </c>
      <c r="W144" t="s">
        <v>379</v>
      </c>
      <c r="X144" t="s">
        <v>45</v>
      </c>
      <c r="Y144" t="s">
        <v>386</v>
      </c>
      <c r="Z144" t="s">
        <v>47</v>
      </c>
      <c r="AA144"/>
      <c r="AB144"/>
      <c r="AC144"/>
      <c r="AD144"/>
    </row>
    <row r="145" spans="1:30">
      <c r="A145">
        <v>3110100249</v>
      </c>
      <c r="B145" t="s">
        <v>30</v>
      </c>
      <c r="C145" t="s">
        <v>61</v>
      </c>
      <c r="D145" t="s">
        <v>71</v>
      </c>
      <c r="E145" t="s">
        <v>371</v>
      </c>
      <c r="F145" t="s">
        <v>108</v>
      </c>
      <c r="G145" t="s">
        <v>109</v>
      </c>
      <c r="H145" t="s">
        <v>50</v>
      </c>
      <c r="I145" t="s">
        <v>110</v>
      </c>
      <c r="J145" t="s">
        <v>400</v>
      </c>
      <c r="K145" t="str">
        <f>"na"</f>
        <v>0</v>
      </c>
      <c r="L145">
        <v>12500</v>
      </c>
      <c r="M145"/>
      <c r="N145" t="s">
        <v>38</v>
      </c>
      <c r="O145" t="s">
        <v>38</v>
      </c>
      <c r="P145" t="s">
        <v>53</v>
      </c>
      <c r="Q145" t="s">
        <v>38</v>
      </c>
      <c r="R145" t="s">
        <v>38</v>
      </c>
      <c r="S145" t="s">
        <v>42</v>
      </c>
      <c r="T145" t="s">
        <v>42</v>
      </c>
      <c r="U145" t="s">
        <v>379</v>
      </c>
      <c r="V145" t="s">
        <v>77</v>
      </c>
      <c r="W145" t="s">
        <v>379</v>
      </c>
      <c r="X145" t="s">
        <v>45</v>
      </c>
      <c r="Y145" t="s">
        <v>386</v>
      </c>
      <c r="Z145" t="s">
        <v>47</v>
      </c>
      <c r="AA145"/>
      <c r="AB145"/>
      <c r="AC145"/>
      <c r="AD145"/>
    </row>
    <row r="146" spans="1:30">
      <c r="A146">
        <v>3110100240</v>
      </c>
      <c r="B146" t="s">
        <v>30</v>
      </c>
      <c r="C146" t="s">
        <v>61</v>
      </c>
      <c r="D146" t="s">
        <v>71</v>
      </c>
      <c r="E146" t="s">
        <v>371</v>
      </c>
      <c r="F146" t="s">
        <v>401</v>
      </c>
      <c r="G146" t="s">
        <v>402</v>
      </c>
      <c r="H146" t="s">
        <v>50</v>
      </c>
      <c r="I146" t="s">
        <v>382</v>
      </c>
      <c r="J146" t="s">
        <v>403</v>
      </c>
      <c r="K146" t="str">
        <f>"na"</f>
        <v>0</v>
      </c>
      <c r="L146">
        <v>125000</v>
      </c>
      <c r="M146"/>
      <c r="N146" t="s">
        <v>38</v>
      </c>
      <c r="O146" t="s">
        <v>38</v>
      </c>
      <c r="P146" t="s">
        <v>53</v>
      </c>
      <c r="Q146" t="s">
        <v>365</v>
      </c>
      <c r="R146" t="s">
        <v>366</v>
      </c>
      <c r="S146" t="s">
        <v>42</v>
      </c>
      <c r="T146" t="s">
        <v>42</v>
      </c>
      <c r="U146" t="s">
        <v>379</v>
      </c>
      <c r="V146" t="s">
        <v>77</v>
      </c>
      <c r="W146" t="s">
        <v>379</v>
      </c>
      <c r="X146" t="s">
        <v>45</v>
      </c>
      <c r="Y146" t="s">
        <v>367</v>
      </c>
      <c r="Z146" t="s">
        <v>47</v>
      </c>
      <c r="AA146"/>
      <c r="AB146"/>
      <c r="AC146"/>
      <c r="AD146"/>
    </row>
    <row r="147" spans="1:30">
      <c r="A147">
        <v>3110100241</v>
      </c>
      <c r="B147" t="s">
        <v>30</v>
      </c>
      <c r="C147" t="s">
        <v>61</v>
      </c>
      <c r="D147" t="s">
        <v>71</v>
      </c>
      <c r="E147" t="s">
        <v>371</v>
      </c>
      <c r="F147" t="s">
        <v>401</v>
      </c>
      <c r="G147" t="s">
        <v>402</v>
      </c>
      <c r="H147" t="s">
        <v>50</v>
      </c>
      <c r="I147" t="s">
        <v>382</v>
      </c>
      <c r="J147" t="s">
        <v>403</v>
      </c>
      <c r="K147" t="str">
        <f>"na"</f>
        <v>0</v>
      </c>
      <c r="L147">
        <v>125000</v>
      </c>
      <c r="M147"/>
      <c r="N147" t="s">
        <v>38</v>
      </c>
      <c r="O147" t="s">
        <v>38</v>
      </c>
      <c r="P147" t="s">
        <v>53</v>
      </c>
      <c r="Q147" t="s">
        <v>365</v>
      </c>
      <c r="R147" t="s">
        <v>366</v>
      </c>
      <c r="S147" t="s">
        <v>42</v>
      </c>
      <c r="T147" t="s">
        <v>42</v>
      </c>
      <c r="U147" t="s">
        <v>379</v>
      </c>
      <c r="V147" t="s">
        <v>77</v>
      </c>
      <c r="W147" t="s">
        <v>379</v>
      </c>
      <c r="X147" t="s">
        <v>45</v>
      </c>
      <c r="Y147" t="s">
        <v>367</v>
      </c>
      <c r="Z147" t="s">
        <v>47</v>
      </c>
      <c r="AA147"/>
      <c r="AB147"/>
      <c r="AC147"/>
      <c r="AD147"/>
    </row>
    <row r="148" spans="1:30">
      <c r="A148">
        <v>3110100245</v>
      </c>
      <c r="B148" t="s">
        <v>30</v>
      </c>
      <c r="C148" t="s">
        <v>61</v>
      </c>
      <c r="D148" t="s">
        <v>71</v>
      </c>
      <c r="E148" t="s">
        <v>371</v>
      </c>
      <c r="F148" t="s">
        <v>401</v>
      </c>
      <c r="G148" t="s">
        <v>402</v>
      </c>
      <c r="H148" t="s">
        <v>50</v>
      </c>
      <c r="I148" t="s">
        <v>382</v>
      </c>
      <c r="J148" t="s">
        <v>403</v>
      </c>
      <c r="K148" t="str">
        <f>"na"</f>
        <v>0</v>
      </c>
      <c r="L148">
        <v>125000</v>
      </c>
      <c r="M148"/>
      <c r="N148" t="s">
        <v>38</v>
      </c>
      <c r="O148" t="s">
        <v>38</v>
      </c>
      <c r="P148" t="s">
        <v>53</v>
      </c>
      <c r="Q148" t="s">
        <v>365</v>
      </c>
      <c r="R148" t="s">
        <v>366</v>
      </c>
      <c r="S148" t="s">
        <v>42</v>
      </c>
      <c r="T148" t="s">
        <v>42</v>
      </c>
      <c r="U148" t="s">
        <v>379</v>
      </c>
      <c r="V148" t="s">
        <v>77</v>
      </c>
      <c r="W148" t="s">
        <v>379</v>
      </c>
      <c r="X148" t="s">
        <v>45</v>
      </c>
      <c r="Y148" t="s">
        <v>386</v>
      </c>
      <c r="Z148" t="s">
        <v>47</v>
      </c>
      <c r="AA148"/>
      <c r="AB148"/>
      <c r="AC148"/>
      <c r="AD148"/>
    </row>
    <row r="149" spans="1:30">
      <c r="A149">
        <v>3110100246</v>
      </c>
      <c r="B149" t="s">
        <v>30</v>
      </c>
      <c r="C149" t="s">
        <v>61</v>
      </c>
      <c r="D149" t="s">
        <v>71</v>
      </c>
      <c r="E149" t="s">
        <v>371</v>
      </c>
      <c r="F149" t="s">
        <v>401</v>
      </c>
      <c r="G149" t="s">
        <v>402</v>
      </c>
      <c r="H149" t="s">
        <v>50</v>
      </c>
      <c r="I149" t="s">
        <v>382</v>
      </c>
      <c r="J149" t="s">
        <v>403</v>
      </c>
      <c r="K149" t="str">
        <f>"na"</f>
        <v>0</v>
      </c>
      <c r="L149">
        <v>125000</v>
      </c>
      <c r="M149"/>
      <c r="N149" t="s">
        <v>38</v>
      </c>
      <c r="O149" t="s">
        <v>38</v>
      </c>
      <c r="P149" t="s">
        <v>53</v>
      </c>
      <c r="Q149" t="s">
        <v>365</v>
      </c>
      <c r="R149" t="s">
        <v>366</v>
      </c>
      <c r="S149" t="s">
        <v>42</v>
      </c>
      <c r="T149" t="s">
        <v>42</v>
      </c>
      <c r="U149" t="s">
        <v>379</v>
      </c>
      <c r="V149" t="s">
        <v>77</v>
      </c>
      <c r="W149" t="s">
        <v>379</v>
      </c>
      <c r="X149" t="s">
        <v>45</v>
      </c>
      <c r="Y149" t="s">
        <v>386</v>
      </c>
      <c r="Z149" t="s">
        <v>47</v>
      </c>
      <c r="AA149"/>
      <c r="AB149"/>
      <c r="AC149"/>
      <c r="AD149"/>
    </row>
    <row r="150" spans="1:30">
      <c r="A150">
        <v>3110100044</v>
      </c>
      <c r="B150" t="s">
        <v>30</v>
      </c>
      <c r="C150" t="s">
        <v>61</v>
      </c>
      <c r="D150" t="s">
        <v>71</v>
      </c>
      <c r="E150" t="s">
        <v>55</v>
      </c>
      <c r="F150" t="s">
        <v>401</v>
      </c>
      <c r="G150" t="s">
        <v>402</v>
      </c>
      <c r="H150" t="s">
        <v>50</v>
      </c>
      <c r="I150" t="s">
        <v>404</v>
      </c>
      <c r="J150" t="s">
        <v>405</v>
      </c>
      <c r="K150" t="str">
        <f>"na"</f>
        <v>0</v>
      </c>
      <c r="L150">
        <v>355071</v>
      </c>
      <c r="M150"/>
      <c r="N150" t="s">
        <v>38</v>
      </c>
      <c r="O150" t="s">
        <v>38</v>
      </c>
      <c r="P150" t="s">
        <v>53</v>
      </c>
      <c r="Q150" t="s">
        <v>38</v>
      </c>
      <c r="R150" t="s">
        <v>38</v>
      </c>
      <c r="S150" t="s">
        <v>42</v>
      </c>
      <c r="T150" t="s">
        <v>42</v>
      </c>
      <c r="U150" t="s">
        <v>379</v>
      </c>
      <c r="V150" t="s">
        <v>395</v>
      </c>
      <c r="W150" t="s">
        <v>379</v>
      </c>
      <c r="X150" t="s">
        <v>45</v>
      </c>
      <c r="Y150" t="s">
        <v>396</v>
      </c>
      <c r="Z150" t="s">
        <v>47</v>
      </c>
      <c r="AA150"/>
      <c r="AB150"/>
      <c r="AC150"/>
      <c r="AD150" t="s">
        <v>397</v>
      </c>
    </row>
    <row r="151" spans="1:30">
      <c r="A151">
        <v>3110100229</v>
      </c>
      <c r="B151" t="s">
        <v>30</v>
      </c>
      <c r="C151" t="s">
        <v>61</v>
      </c>
      <c r="D151" t="s">
        <v>71</v>
      </c>
      <c r="E151" t="s">
        <v>79</v>
      </c>
      <c r="F151" t="s">
        <v>64</v>
      </c>
      <c r="G151" t="s">
        <v>99</v>
      </c>
      <c r="H151" t="s">
        <v>50</v>
      </c>
      <c r="I151" t="s">
        <v>102</v>
      </c>
      <c r="J151" t="s">
        <v>374</v>
      </c>
      <c r="K151" t="str">
        <f>"na"</f>
        <v>0</v>
      </c>
      <c r="L151">
        <v>77650</v>
      </c>
      <c r="M151"/>
      <c r="N151" t="s">
        <v>38</v>
      </c>
      <c r="O151" t="s">
        <v>38</v>
      </c>
      <c r="P151" t="s">
        <v>53</v>
      </c>
      <c r="Q151" t="s">
        <v>38</v>
      </c>
      <c r="R151" t="s">
        <v>38</v>
      </c>
      <c r="S151" t="s">
        <v>42</v>
      </c>
      <c r="T151" t="s">
        <v>42</v>
      </c>
      <c r="U151" t="s">
        <v>379</v>
      </c>
      <c r="V151" t="s">
        <v>77</v>
      </c>
      <c r="W151" t="s">
        <v>379</v>
      </c>
      <c r="X151" t="s">
        <v>45</v>
      </c>
      <c r="Y151" t="s">
        <v>367</v>
      </c>
      <c r="Z151" t="s">
        <v>47</v>
      </c>
      <c r="AA151"/>
      <c r="AB151"/>
      <c r="AC151"/>
      <c r="AD151"/>
    </row>
    <row r="152" spans="1:30">
      <c r="A152">
        <v>3110100230</v>
      </c>
      <c r="B152" t="s">
        <v>30</v>
      </c>
      <c r="C152" t="s">
        <v>61</v>
      </c>
      <c r="D152" t="s">
        <v>71</v>
      </c>
      <c r="E152" t="s">
        <v>79</v>
      </c>
      <c r="F152" t="s">
        <v>64</v>
      </c>
      <c r="G152" t="s">
        <v>99</v>
      </c>
      <c r="H152" t="s">
        <v>50</v>
      </c>
      <c r="I152" t="s">
        <v>102</v>
      </c>
      <c r="J152" t="s">
        <v>374</v>
      </c>
      <c r="K152" t="str">
        <f>"na"</f>
        <v>0</v>
      </c>
      <c r="L152">
        <v>77650</v>
      </c>
      <c r="M152"/>
      <c r="N152" t="s">
        <v>38</v>
      </c>
      <c r="O152" t="s">
        <v>38</v>
      </c>
      <c r="P152" t="s">
        <v>53</v>
      </c>
      <c r="Q152" t="s">
        <v>38</v>
      </c>
      <c r="R152" t="s">
        <v>38</v>
      </c>
      <c r="S152" t="s">
        <v>42</v>
      </c>
      <c r="T152" t="s">
        <v>42</v>
      </c>
      <c r="U152" t="s">
        <v>379</v>
      </c>
      <c r="V152" t="s">
        <v>77</v>
      </c>
      <c r="W152" t="s">
        <v>379</v>
      </c>
      <c r="X152" t="s">
        <v>45</v>
      </c>
      <c r="Y152" t="s">
        <v>367</v>
      </c>
      <c r="Z152" t="s">
        <v>47</v>
      </c>
      <c r="AA152"/>
      <c r="AB152"/>
      <c r="AC152"/>
      <c r="AD152"/>
    </row>
    <row r="153" spans="1:30">
      <c r="A153">
        <v>3110100231</v>
      </c>
      <c r="B153" t="s">
        <v>30</v>
      </c>
      <c r="C153" t="s">
        <v>61</v>
      </c>
      <c r="D153" t="s">
        <v>71</v>
      </c>
      <c r="E153" t="s">
        <v>79</v>
      </c>
      <c r="F153" t="s">
        <v>64</v>
      </c>
      <c r="G153" t="s">
        <v>99</v>
      </c>
      <c r="H153" t="s">
        <v>50</v>
      </c>
      <c r="I153" t="s">
        <v>406</v>
      </c>
      <c r="J153" t="s">
        <v>407</v>
      </c>
      <c r="K153" t="str">
        <f>"2269376050121"</f>
        <v>0</v>
      </c>
      <c r="L153">
        <v>36000</v>
      </c>
      <c r="M153"/>
      <c r="N153" t="s">
        <v>38</v>
      </c>
      <c r="O153" t="s">
        <v>38</v>
      </c>
      <c r="P153" t="s">
        <v>53</v>
      </c>
      <c r="Q153" t="s">
        <v>38</v>
      </c>
      <c r="R153" t="s">
        <v>38</v>
      </c>
      <c r="S153" t="s">
        <v>42</v>
      </c>
      <c r="T153" t="s">
        <v>42</v>
      </c>
      <c r="U153" t="s">
        <v>379</v>
      </c>
      <c r="V153" t="s">
        <v>77</v>
      </c>
      <c r="W153" t="s">
        <v>379</v>
      </c>
      <c r="X153" t="s">
        <v>45</v>
      </c>
      <c r="Y153" t="s">
        <v>367</v>
      </c>
      <c r="Z153" t="s">
        <v>47</v>
      </c>
      <c r="AA153"/>
      <c r="AB153"/>
      <c r="AC153"/>
      <c r="AD153"/>
    </row>
    <row r="154" spans="1:30">
      <c r="A154">
        <v>3110100232</v>
      </c>
      <c r="B154" t="s">
        <v>30</v>
      </c>
      <c r="C154" t="s">
        <v>61</v>
      </c>
      <c r="D154" t="s">
        <v>71</v>
      </c>
      <c r="E154" t="s">
        <v>79</v>
      </c>
      <c r="F154" t="s">
        <v>64</v>
      </c>
      <c r="G154" t="s">
        <v>99</v>
      </c>
      <c r="H154" t="s">
        <v>50</v>
      </c>
      <c r="I154" t="s">
        <v>408</v>
      </c>
      <c r="J154" t="s">
        <v>409</v>
      </c>
      <c r="K154" t="str">
        <f>"na"</f>
        <v>0</v>
      </c>
      <c r="L154">
        <v>86400</v>
      </c>
      <c r="M154"/>
      <c r="N154" t="s">
        <v>38</v>
      </c>
      <c r="O154" t="s">
        <v>38</v>
      </c>
      <c r="P154" t="s">
        <v>53</v>
      </c>
      <c r="Q154" t="s">
        <v>38</v>
      </c>
      <c r="R154" t="s">
        <v>38</v>
      </c>
      <c r="S154" t="s">
        <v>42</v>
      </c>
      <c r="T154" t="s">
        <v>42</v>
      </c>
      <c r="U154" t="s">
        <v>379</v>
      </c>
      <c r="V154" t="s">
        <v>77</v>
      </c>
      <c r="W154" t="s">
        <v>379</v>
      </c>
      <c r="X154" t="s">
        <v>45</v>
      </c>
      <c r="Y154" t="s">
        <v>367</v>
      </c>
      <c r="Z154" t="s">
        <v>47</v>
      </c>
      <c r="AA154"/>
      <c r="AB154"/>
      <c r="AC154"/>
      <c r="AD154"/>
    </row>
    <row r="155" spans="1:30">
      <c r="A155">
        <v>3110100247</v>
      </c>
      <c r="B155" t="s">
        <v>30</v>
      </c>
      <c r="C155" t="s">
        <v>61</v>
      </c>
      <c r="D155" t="s">
        <v>71</v>
      </c>
      <c r="E155" t="s">
        <v>371</v>
      </c>
      <c r="F155" t="s">
        <v>64</v>
      </c>
      <c r="G155" t="s">
        <v>99</v>
      </c>
      <c r="H155" t="s">
        <v>50</v>
      </c>
      <c r="I155" t="s">
        <v>102</v>
      </c>
      <c r="J155" t="s">
        <v>374</v>
      </c>
      <c r="K155" t="str">
        <f>"na"</f>
        <v>0</v>
      </c>
      <c r="L155">
        <v>77650</v>
      </c>
      <c r="M155"/>
      <c r="N155" t="s">
        <v>38</v>
      </c>
      <c r="O155" t="s">
        <v>38</v>
      </c>
      <c r="P155" t="s">
        <v>53</v>
      </c>
      <c r="Q155" t="s">
        <v>38</v>
      </c>
      <c r="R155" t="s">
        <v>38</v>
      </c>
      <c r="S155" t="s">
        <v>42</v>
      </c>
      <c r="T155" t="s">
        <v>42</v>
      </c>
      <c r="U155" t="s">
        <v>379</v>
      </c>
      <c r="V155" t="s">
        <v>77</v>
      </c>
      <c r="W155" t="s">
        <v>379</v>
      </c>
      <c r="X155" t="s">
        <v>45</v>
      </c>
      <c r="Y155" t="s">
        <v>386</v>
      </c>
      <c r="Z155" t="s">
        <v>47</v>
      </c>
      <c r="AA155"/>
      <c r="AB155"/>
      <c r="AC155"/>
      <c r="AD155"/>
    </row>
    <row r="156" spans="1:30">
      <c r="A156">
        <v>3110100250</v>
      </c>
      <c r="B156" t="s">
        <v>30</v>
      </c>
      <c r="C156" t="s">
        <v>61</v>
      </c>
      <c r="D156" t="s">
        <v>71</v>
      </c>
      <c r="E156" t="s">
        <v>371</v>
      </c>
      <c r="F156" t="s">
        <v>64</v>
      </c>
      <c r="G156" t="s">
        <v>99</v>
      </c>
      <c r="H156" t="s">
        <v>50</v>
      </c>
      <c r="I156" t="s">
        <v>102</v>
      </c>
      <c r="J156" t="s">
        <v>374</v>
      </c>
      <c r="K156" t="str">
        <f>"MA21050561689"</f>
        <v>0</v>
      </c>
      <c r="L156">
        <v>77650</v>
      </c>
      <c r="M156"/>
      <c r="N156" t="s">
        <v>38</v>
      </c>
      <c r="O156" t="s">
        <v>38</v>
      </c>
      <c r="P156" t="s">
        <v>53</v>
      </c>
      <c r="Q156" t="s">
        <v>38</v>
      </c>
      <c r="R156" t="s">
        <v>38</v>
      </c>
      <c r="S156" t="s">
        <v>42</v>
      </c>
      <c r="T156" t="s">
        <v>42</v>
      </c>
      <c r="U156" t="s">
        <v>379</v>
      </c>
      <c r="V156" t="s">
        <v>77</v>
      </c>
      <c r="W156" t="s">
        <v>379</v>
      </c>
      <c r="X156" t="s">
        <v>45</v>
      </c>
      <c r="Y156" t="s">
        <v>386</v>
      </c>
      <c r="Z156" t="s">
        <v>47</v>
      </c>
      <c r="AA156"/>
      <c r="AB156"/>
      <c r="AC156"/>
      <c r="AD156"/>
    </row>
    <row r="157" spans="1:30">
      <c r="A157">
        <v>3110100253</v>
      </c>
      <c r="B157" t="s">
        <v>30</v>
      </c>
      <c r="C157" t="s">
        <v>61</v>
      </c>
      <c r="D157" t="s">
        <v>71</v>
      </c>
      <c r="E157" t="s">
        <v>371</v>
      </c>
      <c r="F157" t="s">
        <v>64</v>
      </c>
      <c r="G157" t="s">
        <v>99</v>
      </c>
      <c r="H157" t="s">
        <v>50</v>
      </c>
      <c r="I157" t="s">
        <v>102</v>
      </c>
      <c r="J157" t="s">
        <v>374</v>
      </c>
      <c r="K157" t="str">
        <f>"MA21050261774"</f>
        <v>0</v>
      </c>
      <c r="L157">
        <v>77650</v>
      </c>
      <c r="M157"/>
      <c r="N157" t="s">
        <v>38</v>
      </c>
      <c r="O157" t="s">
        <v>38</v>
      </c>
      <c r="P157" t="s">
        <v>53</v>
      </c>
      <c r="Q157" t="s">
        <v>38</v>
      </c>
      <c r="R157" t="s">
        <v>38</v>
      </c>
      <c r="S157" t="s">
        <v>42</v>
      </c>
      <c r="T157" t="s">
        <v>42</v>
      </c>
      <c r="U157" t="s">
        <v>410</v>
      </c>
      <c r="V157" t="s">
        <v>77</v>
      </c>
      <c r="W157" t="s">
        <v>410</v>
      </c>
      <c r="X157" t="s">
        <v>45</v>
      </c>
      <c r="Y157" t="s">
        <v>386</v>
      </c>
      <c r="Z157" t="s">
        <v>47</v>
      </c>
      <c r="AA157"/>
      <c r="AB157"/>
      <c r="AC157"/>
      <c r="AD157"/>
    </row>
    <row r="158" spans="1:30">
      <c r="A158">
        <v>3110100254</v>
      </c>
      <c r="B158" t="s">
        <v>30</v>
      </c>
      <c r="C158" t="s">
        <v>61</v>
      </c>
      <c r="D158" t="s">
        <v>71</v>
      </c>
      <c r="E158" t="s">
        <v>371</v>
      </c>
      <c r="F158" t="s">
        <v>64</v>
      </c>
      <c r="G158" t="s">
        <v>99</v>
      </c>
      <c r="H158" t="s">
        <v>50</v>
      </c>
      <c r="I158" t="s">
        <v>102</v>
      </c>
      <c r="J158" t="s">
        <v>374</v>
      </c>
      <c r="K158" t="str">
        <f>"MA21050561246"</f>
        <v>0</v>
      </c>
      <c r="L158">
        <v>77650</v>
      </c>
      <c r="M158"/>
      <c r="N158" t="s">
        <v>38</v>
      </c>
      <c r="O158" t="s">
        <v>38</v>
      </c>
      <c r="P158" t="s">
        <v>53</v>
      </c>
      <c r="Q158" t="s">
        <v>38</v>
      </c>
      <c r="R158" t="s">
        <v>38</v>
      </c>
      <c r="S158" t="s">
        <v>42</v>
      </c>
      <c r="T158" t="s">
        <v>42</v>
      </c>
      <c r="U158" t="s">
        <v>410</v>
      </c>
      <c r="V158" t="s">
        <v>77</v>
      </c>
      <c r="W158" t="s">
        <v>410</v>
      </c>
      <c r="X158" t="s">
        <v>45</v>
      </c>
      <c r="Y158" t="s">
        <v>386</v>
      </c>
      <c r="Z158" t="s">
        <v>47</v>
      </c>
      <c r="AA158"/>
      <c r="AB158"/>
      <c r="AC158" t="s">
        <v>376</v>
      </c>
      <c r="AD158"/>
    </row>
    <row r="159" spans="1:30">
      <c r="A159">
        <v>3110100255</v>
      </c>
      <c r="B159" t="s">
        <v>30</v>
      </c>
      <c r="C159" t="s">
        <v>61</v>
      </c>
      <c r="D159" t="s">
        <v>71</v>
      </c>
      <c r="E159" t="s">
        <v>79</v>
      </c>
      <c r="F159" t="s">
        <v>64</v>
      </c>
      <c r="G159" t="s">
        <v>99</v>
      </c>
      <c r="H159" t="s">
        <v>50</v>
      </c>
      <c r="I159" t="s">
        <v>102</v>
      </c>
      <c r="J159" t="s">
        <v>374</v>
      </c>
      <c r="K159" t="str">
        <f>"MA21050561048"</f>
        <v>0</v>
      </c>
      <c r="L159">
        <v>77650</v>
      </c>
      <c r="M159"/>
      <c r="N159" t="s">
        <v>38</v>
      </c>
      <c r="O159" t="s">
        <v>38</v>
      </c>
      <c r="P159" t="s">
        <v>53</v>
      </c>
      <c r="Q159" t="s">
        <v>38</v>
      </c>
      <c r="R159" t="s">
        <v>38</v>
      </c>
      <c r="S159" t="s">
        <v>42</v>
      </c>
      <c r="T159" t="s">
        <v>42</v>
      </c>
      <c r="U159" t="s">
        <v>410</v>
      </c>
      <c r="V159" t="s">
        <v>77</v>
      </c>
      <c r="W159" t="s">
        <v>410</v>
      </c>
      <c r="X159" t="s">
        <v>45</v>
      </c>
      <c r="Y159" t="s">
        <v>386</v>
      </c>
      <c r="Z159" t="s">
        <v>47</v>
      </c>
      <c r="AA159"/>
      <c r="AB159"/>
      <c r="AC159"/>
      <c r="AD159"/>
    </row>
    <row r="160" spans="1:30">
      <c r="A160">
        <v>3110100256</v>
      </c>
      <c r="B160" t="s">
        <v>30</v>
      </c>
      <c r="C160" t="s">
        <v>61</v>
      </c>
      <c r="D160" t="s">
        <v>71</v>
      </c>
      <c r="E160" t="s">
        <v>79</v>
      </c>
      <c r="F160" t="s">
        <v>64</v>
      </c>
      <c r="G160" t="s">
        <v>99</v>
      </c>
      <c r="H160" t="s">
        <v>50</v>
      </c>
      <c r="I160" t="s">
        <v>375</v>
      </c>
      <c r="J160" t="s">
        <v>59</v>
      </c>
      <c r="K160" t="str">
        <f>"na"</f>
        <v>0</v>
      </c>
      <c r="L160">
        <v>36000</v>
      </c>
      <c r="M160"/>
      <c r="N160" t="s">
        <v>38</v>
      </c>
      <c r="O160" t="s">
        <v>38</v>
      </c>
      <c r="P160" t="s">
        <v>53</v>
      </c>
      <c r="Q160" t="s">
        <v>38</v>
      </c>
      <c r="R160" t="s">
        <v>38</v>
      </c>
      <c r="S160" t="s">
        <v>42</v>
      </c>
      <c r="T160" t="s">
        <v>42</v>
      </c>
      <c r="U160" t="s">
        <v>410</v>
      </c>
      <c r="V160" t="s">
        <v>77</v>
      </c>
      <c r="W160" t="s">
        <v>410</v>
      </c>
      <c r="X160" t="s">
        <v>45</v>
      </c>
      <c r="Y160" t="s">
        <v>386</v>
      </c>
      <c r="Z160" t="s">
        <v>47</v>
      </c>
      <c r="AA160"/>
      <c r="AB160"/>
      <c r="AC160"/>
      <c r="AD160"/>
    </row>
    <row r="161" spans="1:30">
      <c r="A161">
        <v>3110100257</v>
      </c>
      <c r="B161" t="s">
        <v>30</v>
      </c>
      <c r="C161" t="s">
        <v>61</v>
      </c>
      <c r="D161" t="s">
        <v>71</v>
      </c>
      <c r="E161" t="s">
        <v>79</v>
      </c>
      <c r="F161" t="s">
        <v>64</v>
      </c>
      <c r="G161" t="s">
        <v>99</v>
      </c>
      <c r="H161" t="s">
        <v>50</v>
      </c>
      <c r="I161" t="s">
        <v>375</v>
      </c>
      <c r="J161" t="s">
        <v>59</v>
      </c>
      <c r="K161" t="str">
        <f>"na"</f>
        <v>0</v>
      </c>
      <c r="L161">
        <v>36000</v>
      </c>
      <c r="M161"/>
      <c r="N161" t="s">
        <v>38</v>
      </c>
      <c r="O161" t="s">
        <v>38</v>
      </c>
      <c r="P161" t="s">
        <v>53</v>
      </c>
      <c r="Q161" t="s">
        <v>38</v>
      </c>
      <c r="R161" t="s">
        <v>38</v>
      </c>
      <c r="S161" t="s">
        <v>42</v>
      </c>
      <c r="T161" t="s">
        <v>42</v>
      </c>
      <c r="U161" t="s">
        <v>410</v>
      </c>
      <c r="V161" t="s">
        <v>77</v>
      </c>
      <c r="W161" t="s">
        <v>410</v>
      </c>
      <c r="X161" t="s">
        <v>45</v>
      </c>
      <c r="Y161" t="s">
        <v>386</v>
      </c>
      <c r="Z161" t="s">
        <v>47</v>
      </c>
      <c r="AA161"/>
      <c r="AB161"/>
      <c r="AC161" t="s">
        <v>376</v>
      </c>
      <c r="AD161"/>
    </row>
    <row r="162" spans="1:30">
      <c r="A162">
        <v>3110100258</v>
      </c>
      <c r="B162" t="s">
        <v>30</v>
      </c>
      <c r="C162" t="s">
        <v>61</v>
      </c>
      <c r="D162" t="s">
        <v>71</v>
      </c>
      <c r="E162" t="s">
        <v>79</v>
      </c>
      <c r="F162" t="s">
        <v>64</v>
      </c>
      <c r="G162" t="s">
        <v>99</v>
      </c>
      <c r="H162" t="s">
        <v>50</v>
      </c>
      <c r="I162" t="s">
        <v>375</v>
      </c>
      <c r="J162" t="s">
        <v>59</v>
      </c>
      <c r="K162" t="str">
        <f>"na"</f>
        <v>0</v>
      </c>
      <c r="L162">
        <v>36000</v>
      </c>
      <c r="M162"/>
      <c r="N162" t="s">
        <v>38</v>
      </c>
      <c r="O162" t="s">
        <v>38</v>
      </c>
      <c r="P162" t="s">
        <v>53</v>
      </c>
      <c r="Q162" t="s">
        <v>38</v>
      </c>
      <c r="R162" t="s">
        <v>38</v>
      </c>
      <c r="S162" t="s">
        <v>42</v>
      </c>
      <c r="T162" t="s">
        <v>42</v>
      </c>
      <c r="U162" t="s">
        <v>410</v>
      </c>
      <c r="V162" t="s">
        <v>77</v>
      </c>
      <c r="W162" t="s">
        <v>410</v>
      </c>
      <c r="X162" t="s">
        <v>45</v>
      </c>
      <c r="Y162" t="s">
        <v>386</v>
      </c>
      <c r="Z162" t="s">
        <v>47</v>
      </c>
      <c r="AA162"/>
      <c r="AB162"/>
      <c r="AC162"/>
      <c r="AD162"/>
    </row>
    <row r="163" spans="1:30">
      <c r="A163">
        <v>3110100259</v>
      </c>
      <c r="B163" t="s">
        <v>30</v>
      </c>
      <c r="C163" t="s">
        <v>61</v>
      </c>
      <c r="D163" t="s">
        <v>71</v>
      </c>
      <c r="E163" t="s">
        <v>79</v>
      </c>
      <c r="F163" t="s">
        <v>64</v>
      </c>
      <c r="G163" t="s">
        <v>99</v>
      </c>
      <c r="H163" t="s">
        <v>50</v>
      </c>
      <c r="I163" t="s">
        <v>375</v>
      </c>
      <c r="J163" t="s">
        <v>411</v>
      </c>
      <c r="K163" t="str">
        <f>"WM-OC-21A3189"</f>
        <v>0</v>
      </c>
      <c r="L163">
        <v>36000</v>
      </c>
      <c r="M163"/>
      <c r="N163" t="s">
        <v>38</v>
      </c>
      <c r="O163" t="s">
        <v>38</v>
      </c>
      <c r="P163" t="s">
        <v>53</v>
      </c>
      <c r="Q163" t="s">
        <v>38</v>
      </c>
      <c r="R163" t="s">
        <v>38</v>
      </c>
      <c r="S163" t="s">
        <v>42</v>
      </c>
      <c r="T163" t="s">
        <v>42</v>
      </c>
      <c r="U163" t="s">
        <v>410</v>
      </c>
      <c r="V163" t="s">
        <v>77</v>
      </c>
      <c r="W163" t="s">
        <v>410</v>
      </c>
      <c r="X163" t="s">
        <v>45</v>
      </c>
      <c r="Y163" t="s">
        <v>386</v>
      </c>
      <c r="Z163" t="s">
        <v>47</v>
      </c>
      <c r="AA163"/>
      <c r="AB163"/>
      <c r="AC163"/>
      <c r="AD163"/>
    </row>
    <row r="164" spans="1:30">
      <c r="A164">
        <v>3110100260</v>
      </c>
      <c r="B164" t="s">
        <v>30</v>
      </c>
      <c r="C164" t="s">
        <v>61</v>
      </c>
      <c r="D164" t="s">
        <v>71</v>
      </c>
      <c r="E164" t="s">
        <v>79</v>
      </c>
      <c r="F164" t="s">
        <v>64</v>
      </c>
      <c r="G164" t="s">
        <v>99</v>
      </c>
      <c r="H164" t="s">
        <v>50</v>
      </c>
      <c r="I164" t="s">
        <v>375</v>
      </c>
      <c r="J164" t="s">
        <v>411</v>
      </c>
      <c r="K164" t="str">
        <f>"WM-OC-21A3040"</f>
        <v>0</v>
      </c>
      <c r="L164">
        <v>36000</v>
      </c>
      <c r="M164"/>
      <c r="N164" t="s">
        <v>38</v>
      </c>
      <c r="O164" t="s">
        <v>38</v>
      </c>
      <c r="P164" t="s">
        <v>53</v>
      </c>
      <c r="Q164" t="s">
        <v>38</v>
      </c>
      <c r="R164" t="s">
        <v>38</v>
      </c>
      <c r="S164" t="s">
        <v>42</v>
      </c>
      <c r="T164" t="s">
        <v>42</v>
      </c>
      <c r="U164" t="s">
        <v>410</v>
      </c>
      <c r="V164" t="s">
        <v>77</v>
      </c>
      <c r="W164" t="s">
        <v>410</v>
      </c>
      <c r="X164" t="s">
        <v>45</v>
      </c>
      <c r="Y164" t="s">
        <v>386</v>
      </c>
      <c r="Z164" t="s">
        <v>47</v>
      </c>
      <c r="AA164"/>
      <c r="AB164"/>
      <c r="AC164"/>
      <c r="AD164"/>
    </row>
    <row r="165" spans="1:30">
      <c r="A165">
        <v>3110100261</v>
      </c>
      <c r="B165" t="s">
        <v>30</v>
      </c>
      <c r="C165" t="s">
        <v>61</v>
      </c>
      <c r="D165" t="s">
        <v>71</v>
      </c>
      <c r="E165" t="s">
        <v>79</v>
      </c>
      <c r="F165" t="s">
        <v>64</v>
      </c>
      <c r="G165" t="s">
        <v>99</v>
      </c>
      <c r="H165" t="s">
        <v>50</v>
      </c>
      <c r="I165" t="s">
        <v>408</v>
      </c>
      <c r="J165" t="s">
        <v>409</v>
      </c>
      <c r="K165" t="str">
        <f>"na"</f>
        <v>0</v>
      </c>
      <c r="L165">
        <v>86400</v>
      </c>
      <c r="M165"/>
      <c r="N165" t="s">
        <v>38</v>
      </c>
      <c r="O165" t="s">
        <v>38</v>
      </c>
      <c r="P165" t="s">
        <v>53</v>
      </c>
      <c r="Q165" t="s">
        <v>38</v>
      </c>
      <c r="R165" t="s">
        <v>38</v>
      </c>
      <c r="S165" t="s">
        <v>42</v>
      </c>
      <c r="T165" t="s">
        <v>42</v>
      </c>
      <c r="U165" t="s">
        <v>410</v>
      </c>
      <c r="V165" t="s">
        <v>77</v>
      </c>
      <c r="W165" t="s">
        <v>410</v>
      </c>
      <c r="X165" t="s">
        <v>45</v>
      </c>
      <c r="Y165" t="s">
        <v>386</v>
      </c>
      <c r="Z165" t="s">
        <v>47</v>
      </c>
      <c r="AA165"/>
      <c r="AB165"/>
      <c r="AC165" t="s">
        <v>376</v>
      </c>
      <c r="AD165"/>
    </row>
    <row r="166" spans="1:30">
      <c r="A166">
        <v>3110100262</v>
      </c>
      <c r="B166" t="s">
        <v>30</v>
      </c>
      <c r="C166" t="s">
        <v>61</v>
      </c>
      <c r="D166" t="s">
        <v>71</v>
      </c>
      <c r="E166" t="s">
        <v>79</v>
      </c>
      <c r="F166" t="s">
        <v>64</v>
      </c>
      <c r="G166" t="s">
        <v>99</v>
      </c>
      <c r="H166" t="s">
        <v>50</v>
      </c>
      <c r="I166" t="s">
        <v>408</v>
      </c>
      <c r="J166" t="s">
        <v>409</v>
      </c>
      <c r="K166" t="str">
        <f>"na"</f>
        <v>0</v>
      </c>
      <c r="L166">
        <v>86400</v>
      </c>
      <c r="M166"/>
      <c r="N166" t="s">
        <v>38</v>
      </c>
      <c r="O166" t="s">
        <v>38</v>
      </c>
      <c r="P166" t="s">
        <v>53</v>
      </c>
      <c r="Q166" t="s">
        <v>38</v>
      </c>
      <c r="R166" t="s">
        <v>38</v>
      </c>
      <c r="S166" t="s">
        <v>42</v>
      </c>
      <c r="T166" t="s">
        <v>42</v>
      </c>
      <c r="U166" t="s">
        <v>410</v>
      </c>
      <c r="V166" t="s">
        <v>77</v>
      </c>
      <c r="W166" t="s">
        <v>410</v>
      </c>
      <c r="X166" t="s">
        <v>45</v>
      </c>
      <c r="Y166" t="s">
        <v>386</v>
      </c>
      <c r="Z166" t="s">
        <v>47</v>
      </c>
      <c r="AA166"/>
      <c r="AB166"/>
      <c r="AC166"/>
      <c r="AD166"/>
    </row>
    <row r="167" spans="1:30">
      <c r="A167">
        <v>3110100263</v>
      </c>
      <c r="B167" t="s">
        <v>30</v>
      </c>
      <c r="C167" t="s">
        <v>61</v>
      </c>
      <c r="D167" t="s">
        <v>71</v>
      </c>
      <c r="E167" t="s">
        <v>79</v>
      </c>
      <c r="F167" t="s">
        <v>64</v>
      </c>
      <c r="G167" t="s">
        <v>99</v>
      </c>
      <c r="H167" t="s">
        <v>50</v>
      </c>
      <c r="I167" t="s">
        <v>408</v>
      </c>
      <c r="J167" t="s">
        <v>409</v>
      </c>
      <c r="K167" t="str">
        <f>"na"</f>
        <v>0</v>
      </c>
      <c r="L167">
        <v>86400</v>
      </c>
      <c r="M167"/>
      <c r="N167" t="s">
        <v>38</v>
      </c>
      <c r="O167" t="s">
        <v>38</v>
      </c>
      <c r="P167" t="s">
        <v>53</v>
      </c>
      <c r="Q167" t="s">
        <v>38</v>
      </c>
      <c r="R167" t="s">
        <v>38</v>
      </c>
      <c r="S167" t="s">
        <v>42</v>
      </c>
      <c r="T167" t="s">
        <v>42</v>
      </c>
      <c r="U167" t="s">
        <v>410</v>
      </c>
      <c r="V167" t="s">
        <v>77</v>
      </c>
      <c r="W167" t="s">
        <v>410</v>
      </c>
      <c r="X167" t="s">
        <v>45</v>
      </c>
      <c r="Y167" t="s">
        <v>386</v>
      </c>
      <c r="Z167" t="s">
        <v>47</v>
      </c>
      <c r="AA167"/>
      <c r="AB167"/>
      <c r="AC167"/>
      <c r="AD167"/>
    </row>
    <row r="168" spans="1:30">
      <c r="A168">
        <v>3110100264</v>
      </c>
      <c r="B168" t="s">
        <v>30</v>
      </c>
      <c r="C168" t="s">
        <v>61</v>
      </c>
      <c r="D168" t="s">
        <v>71</v>
      </c>
      <c r="E168" t="s">
        <v>79</v>
      </c>
      <c r="F168" t="s">
        <v>64</v>
      </c>
      <c r="G168" t="s">
        <v>99</v>
      </c>
      <c r="H168" t="s">
        <v>50</v>
      </c>
      <c r="I168" t="s">
        <v>408</v>
      </c>
      <c r="J168" t="s">
        <v>409</v>
      </c>
      <c r="K168" t="str">
        <f>"na"</f>
        <v>0</v>
      </c>
      <c r="L168">
        <v>86400</v>
      </c>
      <c r="M168"/>
      <c r="N168" t="s">
        <v>38</v>
      </c>
      <c r="O168" t="s">
        <v>38</v>
      </c>
      <c r="P168" t="s">
        <v>53</v>
      </c>
      <c r="Q168" t="s">
        <v>38</v>
      </c>
      <c r="R168" t="s">
        <v>38</v>
      </c>
      <c r="S168" t="s">
        <v>42</v>
      </c>
      <c r="T168" t="s">
        <v>42</v>
      </c>
      <c r="U168" t="s">
        <v>410</v>
      </c>
      <c r="V168" t="s">
        <v>77</v>
      </c>
      <c r="W168" t="s">
        <v>410</v>
      </c>
      <c r="X168" t="s">
        <v>45</v>
      </c>
      <c r="Y168" t="s">
        <v>386</v>
      </c>
      <c r="Z168" t="s">
        <v>47</v>
      </c>
      <c r="AA168"/>
      <c r="AB168"/>
      <c r="AC168"/>
      <c r="AD168"/>
    </row>
    <row r="169" spans="1:30">
      <c r="A169">
        <v>3110100265</v>
      </c>
      <c r="B169" t="s">
        <v>30</v>
      </c>
      <c r="C169" t="s">
        <v>61</v>
      </c>
      <c r="D169" t="s">
        <v>71</v>
      </c>
      <c r="E169" t="s">
        <v>79</v>
      </c>
      <c r="F169" t="s">
        <v>64</v>
      </c>
      <c r="G169" t="s">
        <v>99</v>
      </c>
      <c r="H169" t="s">
        <v>50</v>
      </c>
      <c r="I169" t="s">
        <v>408</v>
      </c>
      <c r="J169" t="s">
        <v>409</v>
      </c>
      <c r="K169" t="str">
        <f>"na"</f>
        <v>0</v>
      </c>
      <c r="L169">
        <v>86400</v>
      </c>
      <c r="M169"/>
      <c r="N169" t="s">
        <v>38</v>
      </c>
      <c r="O169" t="s">
        <v>38</v>
      </c>
      <c r="P169" t="s">
        <v>53</v>
      </c>
      <c r="Q169" t="s">
        <v>38</v>
      </c>
      <c r="R169" t="s">
        <v>38</v>
      </c>
      <c r="S169" t="s">
        <v>42</v>
      </c>
      <c r="T169" t="s">
        <v>42</v>
      </c>
      <c r="U169" t="s">
        <v>410</v>
      </c>
      <c r="V169" t="s">
        <v>77</v>
      </c>
      <c r="W169" t="s">
        <v>410</v>
      </c>
      <c r="X169" t="s">
        <v>45</v>
      </c>
      <c r="Y169" t="s">
        <v>386</v>
      </c>
      <c r="Z169" t="s">
        <v>47</v>
      </c>
      <c r="AA169"/>
      <c r="AB169"/>
      <c r="AC169"/>
      <c r="AD169"/>
    </row>
    <row r="170" spans="1:30">
      <c r="A170">
        <v>3110100266</v>
      </c>
      <c r="B170" t="s">
        <v>30</v>
      </c>
      <c r="C170" t="s">
        <v>61</v>
      </c>
      <c r="D170" t="s">
        <v>71</v>
      </c>
      <c r="E170" t="s">
        <v>79</v>
      </c>
      <c r="F170" t="s">
        <v>64</v>
      </c>
      <c r="G170" t="s">
        <v>99</v>
      </c>
      <c r="H170" t="s">
        <v>50</v>
      </c>
      <c r="I170" t="s">
        <v>408</v>
      </c>
      <c r="J170" t="s">
        <v>409</v>
      </c>
      <c r="K170" t="str">
        <f>"na"</f>
        <v>0</v>
      </c>
      <c r="L170">
        <v>86400</v>
      </c>
      <c r="M170"/>
      <c r="N170" t="s">
        <v>38</v>
      </c>
      <c r="O170" t="s">
        <v>38</v>
      </c>
      <c r="P170" t="s">
        <v>53</v>
      </c>
      <c r="Q170" t="s">
        <v>38</v>
      </c>
      <c r="R170" t="s">
        <v>38</v>
      </c>
      <c r="S170" t="s">
        <v>42</v>
      </c>
      <c r="T170" t="s">
        <v>42</v>
      </c>
      <c r="U170" t="s">
        <v>410</v>
      </c>
      <c r="V170" t="s">
        <v>77</v>
      </c>
      <c r="W170" t="s">
        <v>410</v>
      </c>
      <c r="X170" t="s">
        <v>45</v>
      </c>
      <c r="Y170" t="s">
        <v>386</v>
      </c>
      <c r="Z170" t="s">
        <v>47</v>
      </c>
      <c r="AA170"/>
      <c r="AB170"/>
      <c r="AC170"/>
      <c r="AD170"/>
    </row>
    <row r="171" spans="1:30">
      <c r="A171">
        <v>4110050026</v>
      </c>
      <c r="B171" t="s">
        <v>30</v>
      </c>
      <c r="C171" t="s">
        <v>88</v>
      </c>
      <c r="D171" t="s">
        <v>165</v>
      </c>
      <c r="E171" t="s">
        <v>104</v>
      </c>
      <c r="F171" t="s">
        <v>64</v>
      </c>
      <c r="G171" t="s">
        <v>99</v>
      </c>
      <c r="H171" t="s">
        <v>50</v>
      </c>
      <c r="I171" t="s">
        <v>408</v>
      </c>
      <c r="J171" t="s">
        <v>412</v>
      </c>
      <c r="K171" t="str">
        <f>"mzj5d122609"</f>
        <v>0</v>
      </c>
      <c r="L171">
        <v>30300</v>
      </c>
      <c r="M171"/>
      <c r="N171" t="s">
        <v>38</v>
      </c>
      <c r="O171" t="s">
        <v>38</v>
      </c>
      <c r="P171" t="s">
        <v>53</v>
      </c>
      <c r="Q171" t="s">
        <v>38</v>
      </c>
      <c r="R171" t="s">
        <v>38</v>
      </c>
      <c r="S171" t="s">
        <v>42</v>
      </c>
      <c r="T171" t="s">
        <v>42</v>
      </c>
      <c r="U171" t="s">
        <v>413</v>
      </c>
      <c r="V171" t="s">
        <v>44</v>
      </c>
      <c r="W171" t="s">
        <v>413</v>
      </c>
      <c r="X171" t="s">
        <v>45</v>
      </c>
      <c r="Y171" t="s">
        <v>414</v>
      </c>
      <c r="Z171" t="s">
        <v>47</v>
      </c>
      <c r="AA171"/>
      <c r="AB171"/>
      <c r="AC171"/>
      <c r="AD171"/>
    </row>
    <row r="172" spans="1:30">
      <c r="A172">
        <v>3110100166</v>
      </c>
      <c r="B172" t="s">
        <v>30</v>
      </c>
      <c r="C172" t="s">
        <v>61</v>
      </c>
      <c r="D172" t="s">
        <v>71</v>
      </c>
      <c r="E172" t="s">
        <v>112</v>
      </c>
      <c r="F172" t="s">
        <v>64</v>
      </c>
      <c r="G172" t="s">
        <v>99</v>
      </c>
      <c r="H172" t="s">
        <v>50</v>
      </c>
      <c r="I172" t="s">
        <v>102</v>
      </c>
      <c r="J172" t="s">
        <v>374</v>
      </c>
      <c r="K172" t="str">
        <f>"na"</f>
        <v>0</v>
      </c>
      <c r="L172">
        <v>77650</v>
      </c>
      <c r="M172"/>
      <c r="N172" t="s">
        <v>38</v>
      </c>
      <c r="O172" t="s">
        <v>38</v>
      </c>
      <c r="P172" t="s">
        <v>53</v>
      </c>
      <c r="Q172" t="s">
        <v>38</v>
      </c>
      <c r="R172" t="s">
        <v>38</v>
      </c>
      <c r="S172" t="s">
        <v>42</v>
      </c>
      <c r="T172" t="s">
        <v>42</v>
      </c>
      <c r="U172" t="s">
        <v>415</v>
      </c>
      <c r="V172" t="s">
        <v>77</v>
      </c>
      <c r="W172" t="s">
        <v>415</v>
      </c>
      <c r="X172" t="s">
        <v>45</v>
      </c>
      <c r="Y172" t="s">
        <v>416</v>
      </c>
      <c r="Z172" t="s">
        <v>47</v>
      </c>
      <c r="AA172"/>
      <c r="AB172"/>
      <c r="AC172"/>
      <c r="AD172"/>
    </row>
    <row r="173" spans="1:30">
      <c r="A173">
        <v>3110100167</v>
      </c>
      <c r="B173" t="s">
        <v>30</v>
      </c>
      <c r="C173" t="s">
        <v>61</v>
      </c>
      <c r="D173" t="s">
        <v>71</v>
      </c>
      <c r="E173" t="s">
        <v>112</v>
      </c>
      <c r="F173" t="s">
        <v>64</v>
      </c>
      <c r="G173" t="s">
        <v>99</v>
      </c>
      <c r="H173" t="s">
        <v>50</v>
      </c>
      <c r="I173" t="s">
        <v>102</v>
      </c>
      <c r="J173" t="s">
        <v>374</v>
      </c>
      <c r="K173" t="str">
        <f>"na"</f>
        <v>0</v>
      </c>
      <c r="L173">
        <v>77650</v>
      </c>
      <c r="M173"/>
      <c r="N173" t="s">
        <v>38</v>
      </c>
      <c r="O173" t="s">
        <v>38</v>
      </c>
      <c r="P173" t="s">
        <v>53</v>
      </c>
      <c r="Q173" t="s">
        <v>38</v>
      </c>
      <c r="R173" t="s">
        <v>38</v>
      </c>
      <c r="S173" t="s">
        <v>42</v>
      </c>
      <c r="T173" t="s">
        <v>42</v>
      </c>
      <c r="U173" t="s">
        <v>415</v>
      </c>
      <c r="V173" t="s">
        <v>77</v>
      </c>
      <c r="W173" t="s">
        <v>415</v>
      </c>
      <c r="X173" t="s">
        <v>45</v>
      </c>
      <c r="Y173" t="s">
        <v>416</v>
      </c>
      <c r="Z173" t="s">
        <v>47</v>
      </c>
      <c r="AA173"/>
      <c r="AB173"/>
      <c r="AC173"/>
      <c r="AD173"/>
    </row>
    <row r="174" spans="1:30">
      <c r="A174">
        <v>3110100168</v>
      </c>
      <c r="B174" t="s">
        <v>30</v>
      </c>
      <c r="C174" t="s">
        <v>61</v>
      </c>
      <c r="D174" t="s">
        <v>71</v>
      </c>
      <c r="E174" t="s">
        <v>112</v>
      </c>
      <c r="F174" t="s">
        <v>64</v>
      </c>
      <c r="G174" t="s">
        <v>99</v>
      </c>
      <c r="H174" t="s">
        <v>50</v>
      </c>
      <c r="I174" t="s">
        <v>102</v>
      </c>
      <c r="J174" t="s">
        <v>374</v>
      </c>
      <c r="K174" t="str">
        <f>"na"</f>
        <v>0</v>
      </c>
      <c r="L174">
        <v>77650</v>
      </c>
      <c r="M174"/>
      <c r="N174" t="s">
        <v>38</v>
      </c>
      <c r="O174" t="s">
        <v>38</v>
      </c>
      <c r="P174" t="s">
        <v>53</v>
      </c>
      <c r="Q174" t="s">
        <v>38</v>
      </c>
      <c r="R174" t="s">
        <v>38</v>
      </c>
      <c r="S174" t="s">
        <v>42</v>
      </c>
      <c r="T174" t="s">
        <v>42</v>
      </c>
      <c r="U174" t="s">
        <v>415</v>
      </c>
      <c r="V174" t="s">
        <v>77</v>
      </c>
      <c r="W174" t="s">
        <v>415</v>
      </c>
      <c r="X174" t="s">
        <v>45</v>
      </c>
      <c r="Y174" t="s">
        <v>416</v>
      </c>
      <c r="Z174" t="s">
        <v>47</v>
      </c>
      <c r="AA174"/>
      <c r="AB174"/>
      <c r="AC174"/>
      <c r="AD174"/>
    </row>
    <row r="175" spans="1:30">
      <c r="A175">
        <v>3110100169</v>
      </c>
      <c r="B175" t="s">
        <v>30</v>
      </c>
      <c r="C175" t="s">
        <v>61</v>
      </c>
      <c r="D175" t="s">
        <v>71</v>
      </c>
      <c r="E175" t="s">
        <v>112</v>
      </c>
      <c r="F175" t="s">
        <v>64</v>
      </c>
      <c r="G175" t="s">
        <v>99</v>
      </c>
      <c r="H175" t="s">
        <v>50</v>
      </c>
      <c r="I175" t="s">
        <v>102</v>
      </c>
      <c r="J175" t="s">
        <v>374</v>
      </c>
      <c r="K175" t="str">
        <f>"na"</f>
        <v>0</v>
      </c>
      <c r="L175">
        <v>77650</v>
      </c>
      <c r="M175"/>
      <c r="N175" t="s">
        <v>38</v>
      </c>
      <c r="O175" t="s">
        <v>38</v>
      </c>
      <c r="P175" t="s">
        <v>53</v>
      </c>
      <c r="Q175" t="s">
        <v>38</v>
      </c>
      <c r="R175" t="s">
        <v>38</v>
      </c>
      <c r="S175" t="s">
        <v>42</v>
      </c>
      <c r="T175" t="s">
        <v>42</v>
      </c>
      <c r="U175" t="s">
        <v>415</v>
      </c>
      <c r="V175" t="s">
        <v>77</v>
      </c>
      <c r="W175" t="s">
        <v>415</v>
      </c>
      <c r="X175" t="s">
        <v>45</v>
      </c>
      <c r="Y175" t="s">
        <v>416</v>
      </c>
      <c r="Z175" t="s">
        <v>47</v>
      </c>
      <c r="AA175"/>
      <c r="AB175"/>
      <c r="AC175"/>
      <c r="AD175"/>
    </row>
    <row r="176" spans="1:30">
      <c r="A176">
        <v>3110100170</v>
      </c>
      <c r="B176" t="s">
        <v>30</v>
      </c>
      <c r="C176" t="s">
        <v>61</v>
      </c>
      <c r="D176" t="s">
        <v>71</v>
      </c>
      <c r="E176" t="s">
        <v>112</v>
      </c>
      <c r="F176" t="s">
        <v>64</v>
      </c>
      <c r="G176" t="s">
        <v>99</v>
      </c>
      <c r="H176" t="s">
        <v>50</v>
      </c>
      <c r="I176" t="s">
        <v>102</v>
      </c>
      <c r="J176" t="s">
        <v>374</v>
      </c>
      <c r="K176" t="str">
        <f>"na"</f>
        <v>0</v>
      </c>
      <c r="L176">
        <v>77650</v>
      </c>
      <c r="M176"/>
      <c r="N176" t="s">
        <v>38</v>
      </c>
      <c r="O176" t="s">
        <v>38</v>
      </c>
      <c r="P176" t="s">
        <v>53</v>
      </c>
      <c r="Q176" t="s">
        <v>38</v>
      </c>
      <c r="R176" t="s">
        <v>38</v>
      </c>
      <c r="S176" t="s">
        <v>42</v>
      </c>
      <c r="T176" t="s">
        <v>42</v>
      </c>
      <c r="U176" t="s">
        <v>415</v>
      </c>
      <c r="V176" t="s">
        <v>77</v>
      </c>
      <c r="W176" t="s">
        <v>415</v>
      </c>
      <c r="X176" t="s">
        <v>45</v>
      </c>
      <c r="Y176" t="s">
        <v>416</v>
      </c>
      <c r="Z176" t="s">
        <v>47</v>
      </c>
      <c r="AA176"/>
      <c r="AB176"/>
      <c r="AC176"/>
      <c r="AD176"/>
    </row>
    <row r="177" spans="1:30">
      <c r="A177">
        <v>3110100171</v>
      </c>
      <c r="B177" t="s">
        <v>30</v>
      </c>
      <c r="C177" t="s">
        <v>61</v>
      </c>
      <c r="D177" t="s">
        <v>71</v>
      </c>
      <c r="E177" t="s">
        <v>112</v>
      </c>
      <c r="F177" t="s">
        <v>64</v>
      </c>
      <c r="G177" t="s">
        <v>99</v>
      </c>
      <c r="H177" t="s">
        <v>50</v>
      </c>
      <c r="I177" t="s">
        <v>102</v>
      </c>
      <c r="J177" t="s">
        <v>374</v>
      </c>
      <c r="K177" t="str">
        <f>"na"</f>
        <v>0</v>
      </c>
      <c r="L177">
        <v>77650</v>
      </c>
      <c r="M177"/>
      <c r="N177" t="s">
        <v>38</v>
      </c>
      <c r="O177" t="s">
        <v>38</v>
      </c>
      <c r="P177" t="s">
        <v>53</v>
      </c>
      <c r="Q177" t="s">
        <v>38</v>
      </c>
      <c r="R177" t="s">
        <v>38</v>
      </c>
      <c r="S177" t="s">
        <v>42</v>
      </c>
      <c r="T177" t="s">
        <v>42</v>
      </c>
      <c r="U177" t="s">
        <v>415</v>
      </c>
      <c r="V177" t="s">
        <v>77</v>
      </c>
      <c r="W177" t="s">
        <v>415</v>
      </c>
      <c r="X177" t="s">
        <v>45</v>
      </c>
      <c r="Y177" t="s">
        <v>416</v>
      </c>
      <c r="Z177" t="s">
        <v>47</v>
      </c>
      <c r="AA177"/>
      <c r="AB177"/>
      <c r="AC177"/>
      <c r="AD177"/>
    </row>
    <row r="178" spans="1:30">
      <c r="A178">
        <v>3110100172</v>
      </c>
      <c r="B178" t="s">
        <v>30</v>
      </c>
      <c r="C178" t="s">
        <v>61</v>
      </c>
      <c r="D178" t="s">
        <v>71</v>
      </c>
      <c r="E178" t="s">
        <v>112</v>
      </c>
      <c r="F178" t="s">
        <v>64</v>
      </c>
      <c r="G178" t="s">
        <v>99</v>
      </c>
      <c r="H178" t="s">
        <v>50</v>
      </c>
      <c r="I178" t="s">
        <v>102</v>
      </c>
      <c r="J178" t="s">
        <v>374</v>
      </c>
      <c r="K178" t="str">
        <f>"na"</f>
        <v>0</v>
      </c>
      <c r="L178">
        <v>77650</v>
      </c>
      <c r="M178"/>
      <c r="N178" t="s">
        <v>38</v>
      </c>
      <c r="O178" t="s">
        <v>38</v>
      </c>
      <c r="P178" t="s">
        <v>53</v>
      </c>
      <c r="Q178" t="s">
        <v>38</v>
      </c>
      <c r="R178" t="s">
        <v>38</v>
      </c>
      <c r="S178" t="s">
        <v>42</v>
      </c>
      <c r="T178" t="s">
        <v>42</v>
      </c>
      <c r="U178" t="s">
        <v>415</v>
      </c>
      <c r="V178" t="s">
        <v>77</v>
      </c>
      <c r="W178" t="s">
        <v>415</v>
      </c>
      <c r="X178" t="s">
        <v>45</v>
      </c>
      <c r="Y178" t="s">
        <v>416</v>
      </c>
      <c r="Z178" t="s">
        <v>47</v>
      </c>
      <c r="AA178"/>
      <c r="AB178"/>
      <c r="AC178"/>
      <c r="AD178"/>
    </row>
    <row r="179" spans="1:30">
      <c r="A179">
        <v>3110100173</v>
      </c>
      <c r="B179" t="s">
        <v>30</v>
      </c>
      <c r="C179" t="s">
        <v>61</v>
      </c>
      <c r="D179" t="s">
        <v>71</v>
      </c>
      <c r="E179" t="s">
        <v>112</v>
      </c>
      <c r="F179" t="s">
        <v>64</v>
      </c>
      <c r="G179" t="s">
        <v>99</v>
      </c>
      <c r="H179" t="s">
        <v>50</v>
      </c>
      <c r="I179" t="s">
        <v>102</v>
      </c>
      <c r="J179" t="s">
        <v>374</v>
      </c>
      <c r="K179" t="str">
        <f>"na"</f>
        <v>0</v>
      </c>
      <c r="L179">
        <v>77650</v>
      </c>
      <c r="M179"/>
      <c r="N179" t="s">
        <v>38</v>
      </c>
      <c r="O179" t="s">
        <v>38</v>
      </c>
      <c r="P179" t="s">
        <v>53</v>
      </c>
      <c r="Q179" t="s">
        <v>38</v>
      </c>
      <c r="R179" t="s">
        <v>38</v>
      </c>
      <c r="S179" t="s">
        <v>42</v>
      </c>
      <c r="T179" t="s">
        <v>42</v>
      </c>
      <c r="U179" t="s">
        <v>415</v>
      </c>
      <c r="V179" t="s">
        <v>77</v>
      </c>
      <c r="W179" t="s">
        <v>415</v>
      </c>
      <c r="X179" t="s">
        <v>45</v>
      </c>
      <c r="Y179" t="s">
        <v>416</v>
      </c>
      <c r="Z179" t="s">
        <v>47</v>
      </c>
      <c r="AA179"/>
      <c r="AB179"/>
      <c r="AC179"/>
      <c r="AD179"/>
    </row>
    <row r="180" spans="1:30">
      <c r="A180">
        <v>3110100174</v>
      </c>
      <c r="B180" t="s">
        <v>30</v>
      </c>
      <c r="C180" t="s">
        <v>61</v>
      </c>
      <c r="D180" t="s">
        <v>71</v>
      </c>
      <c r="E180" t="s">
        <v>112</v>
      </c>
      <c r="F180" t="s">
        <v>64</v>
      </c>
      <c r="G180" t="s">
        <v>99</v>
      </c>
      <c r="H180" t="s">
        <v>50</v>
      </c>
      <c r="I180" t="s">
        <v>102</v>
      </c>
      <c r="J180" t="s">
        <v>374</v>
      </c>
      <c r="K180" t="str">
        <f>"na"</f>
        <v>0</v>
      </c>
      <c r="L180">
        <v>77650</v>
      </c>
      <c r="M180"/>
      <c r="N180" t="s">
        <v>38</v>
      </c>
      <c r="O180" t="s">
        <v>38</v>
      </c>
      <c r="P180" t="s">
        <v>53</v>
      </c>
      <c r="Q180" t="s">
        <v>38</v>
      </c>
      <c r="R180" t="s">
        <v>38</v>
      </c>
      <c r="S180" t="s">
        <v>42</v>
      </c>
      <c r="T180" t="s">
        <v>42</v>
      </c>
      <c r="U180" t="s">
        <v>415</v>
      </c>
      <c r="V180" t="s">
        <v>77</v>
      </c>
      <c r="W180" t="s">
        <v>415</v>
      </c>
      <c r="X180" t="s">
        <v>45</v>
      </c>
      <c r="Y180" t="s">
        <v>416</v>
      </c>
      <c r="Z180" t="s">
        <v>47</v>
      </c>
      <c r="AA180"/>
      <c r="AB180"/>
      <c r="AC180"/>
      <c r="AD180"/>
    </row>
    <row r="181" spans="1:30">
      <c r="A181">
        <v>3110100175</v>
      </c>
      <c r="B181" t="s">
        <v>30</v>
      </c>
      <c r="C181" t="s">
        <v>61</v>
      </c>
      <c r="D181" t="s">
        <v>71</v>
      </c>
      <c r="E181" t="s">
        <v>112</v>
      </c>
      <c r="F181" t="s">
        <v>64</v>
      </c>
      <c r="G181" t="s">
        <v>99</v>
      </c>
      <c r="H181" t="s">
        <v>50</v>
      </c>
      <c r="I181" t="s">
        <v>102</v>
      </c>
      <c r="J181" t="s">
        <v>374</v>
      </c>
      <c r="K181" t="str">
        <f>"na"</f>
        <v>0</v>
      </c>
      <c r="L181">
        <v>77650</v>
      </c>
      <c r="M181"/>
      <c r="N181" t="s">
        <v>38</v>
      </c>
      <c r="O181" t="s">
        <v>38</v>
      </c>
      <c r="P181" t="s">
        <v>53</v>
      </c>
      <c r="Q181" t="s">
        <v>38</v>
      </c>
      <c r="R181" t="s">
        <v>38</v>
      </c>
      <c r="S181" t="s">
        <v>42</v>
      </c>
      <c r="T181" t="s">
        <v>42</v>
      </c>
      <c r="U181" t="s">
        <v>415</v>
      </c>
      <c r="V181" t="s">
        <v>77</v>
      </c>
      <c r="W181" t="s">
        <v>415</v>
      </c>
      <c r="X181" t="s">
        <v>45</v>
      </c>
      <c r="Y181" t="s">
        <v>416</v>
      </c>
      <c r="Z181" t="s">
        <v>47</v>
      </c>
      <c r="AA181"/>
      <c r="AB181"/>
      <c r="AC181"/>
      <c r="AD181"/>
    </row>
    <row r="182" spans="1:30">
      <c r="A182">
        <v>3110100176</v>
      </c>
      <c r="B182" t="s">
        <v>30</v>
      </c>
      <c r="C182" t="s">
        <v>61</v>
      </c>
      <c r="D182" t="s">
        <v>71</v>
      </c>
      <c r="E182" t="s">
        <v>112</v>
      </c>
      <c r="F182" t="s">
        <v>64</v>
      </c>
      <c r="G182" t="s">
        <v>99</v>
      </c>
      <c r="H182" t="s">
        <v>50</v>
      </c>
      <c r="I182" t="s">
        <v>102</v>
      </c>
      <c r="J182" t="s">
        <v>374</v>
      </c>
      <c r="K182" t="str">
        <f>"na"</f>
        <v>0</v>
      </c>
      <c r="L182">
        <v>77650</v>
      </c>
      <c r="M182"/>
      <c r="N182" t="s">
        <v>38</v>
      </c>
      <c r="O182" t="s">
        <v>38</v>
      </c>
      <c r="P182" t="s">
        <v>53</v>
      </c>
      <c r="Q182" t="s">
        <v>38</v>
      </c>
      <c r="R182" t="s">
        <v>38</v>
      </c>
      <c r="S182" t="s">
        <v>42</v>
      </c>
      <c r="T182" t="s">
        <v>42</v>
      </c>
      <c r="U182" t="s">
        <v>415</v>
      </c>
      <c r="V182" t="s">
        <v>77</v>
      </c>
      <c r="W182" t="s">
        <v>415</v>
      </c>
      <c r="X182" t="s">
        <v>45</v>
      </c>
      <c r="Y182" t="s">
        <v>416</v>
      </c>
      <c r="Z182" t="s">
        <v>47</v>
      </c>
      <c r="AA182"/>
      <c r="AB182"/>
      <c r="AC182"/>
      <c r="AD182"/>
    </row>
    <row r="183" spans="1:30">
      <c r="A183">
        <v>3110100177</v>
      </c>
      <c r="B183" t="s">
        <v>30</v>
      </c>
      <c r="C183" t="s">
        <v>61</v>
      </c>
      <c r="D183" t="s">
        <v>71</v>
      </c>
      <c r="E183" t="s">
        <v>112</v>
      </c>
      <c r="F183" t="s">
        <v>64</v>
      </c>
      <c r="G183" t="s">
        <v>99</v>
      </c>
      <c r="H183" t="s">
        <v>50</v>
      </c>
      <c r="I183" t="s">
        <v>102</v>
      </c>
      <c r="J183" t="s">
        <v>374</v>
      </c>
      <c r="K183" t="str">
        <f>"na"</f>
        <v>0</v>
      </c>
      <c r="L183">
        <v>77650</v>
      </c>
      <c r="M183"/>
      <c r="N183" t="s">
        <v>38</v>
      </c>
      <c r="O183" t="s">
        <v>38</v>
      </c>
      <c r="P183" t="s">
        <v>53</v>
      </c>
      <c r="Q183" t="s">
        <v>38</v>
      </c>
      <c r="R183" t="s">
        <v>38</v>
      </c>
      <c r="S183" t="s">
        <v>42</v>
      </c>
      <c r="T183" t="s">
        <v>42</v>
      </c>
      <c r="U183" t="s">
        <v>415</v>
      </c>
      <c r="V183" t="s">
        <v>77</v>
      </c>
      <c r="W183" t="s">
        <v>415</v>
      </c>
      <c r="X183" t="s">
        <v>45</v>
      </c>
      <c r="Y183" t="s">
        <v>416</v>
      </c>
      <c r="Z183" t="s">
        <v>47</v>
      </c>
      <c r="AA183"/>
      <c r="AB183"/>
      <c r="AC183"/>
      <c r="AD183"/>
    </row>
    <row r="184" spans="1:30">
      <c r="A184">
        <v>3110100178</v>
      </c>
      <c r="B184" t="s">
        <v>30</v>
      </c>
      <c r="C184" t="s">
        <v>61</v>
      </c>
      <c r="D184" t="s">
        <v>71</v>
      </c>
      <c r="E184" t="s">
        <v>112</v>
      </c>
      <c r="F184" t="s">
        <v>64</v>
      </c>
      <c r="G184" t="s">
        <v>99</v>
      </c>
      <c r="H184" t="s">
        <v>50</v>
      </c>
      <c r="I184" t="s">
        <v>102</v>
      </c>
      <c r="J184" t="s">
        <v>374</v>
      </c>
      <c r="K184" t="str">
        <f>"na"</f>
        <v>0</v>
      </c>
      <c r="L184">
        <v>77650</v>
      </c>
      <c r="M184"/>
      <c r="N184" t="s">
        <v>38</v>
      </c>
      <c r="O184" t="s">
        <v>38</v>
      </c>
      <c r="P184" t="s">
        <v>53</v>
      </c>
      <c r="Q184" t="s">
        <v>38</v>
      </c>
      <c r="R184" t="s">
        <v>38</v>
      </c>
      <c r="S184" t="s">
        <v>42</v>
      </c>
      <c r="T184" t="s">
        <v>42</v>
      </c>
      <c r="U184" t="s">
        <v>415</v>
      </c>
      <c r="V184" t="s">
        <v>77</v>
      </c>
      <c r="W184" t="s">
        <v>415</v>
      </c>
      <c r="X184" t="s">
        <v>45</v>
      </c>
      <c r="Y184" t="s">
        <v>416</v>
      </c>
      <c r="Z184" t="s">
        <v>47</v>
      </c>
      <c r="AA184"/>
      <c r="AB184"/>
      <c r="AC184"/>
      <c r="AD184"/>
    </row>
    <row r="185" spans="1:30">
      <c r="A185">
        <v>3110100179</v>
      </c>
      <c r="B185" t="s">
        <v>30</v>
      </c>
      <c r="C185" t="s">
        <v>61</v>
      </c>
      <c r="D185" t="s">
        <v>71</v>
      </c>
      <c r="E185" t="s">
        <v>112</v>
      </c>
      <c r="F185" t="s">
        <v>64</v>
      </c>
      <c r="G185" t="s">
        <v>99</v>
      </c>
      <c r="H185" t="s">
        <v>50</v>
      </c>
      <c r="I185" t="s">
        <v>102</v>
      </c>
      <c r="J185" t="s">
        <v>374</v>
      </c>
      <c r="K185" t="str">
        <f>"na"</f>
        <v>0</v>
      </c>
      <c r="L185">
        <v>77650</v>
      </c>
      <c r="M185"/>
      <c r="N185" t="s">
        <v>38</v>
      </c>
      <c r="O185" t="s">
        <v>38</v>
      </c>
      <c r="P185" t="s">
        <v>53</v>
      </c>
      <c r="Q185" t="s">
        <v>38</v>
      </c>
      <c r="R185" t="s">
        <v>38</v>
      </c>
      <c r="S185" t="s">
        <v>42</v>
      </c>
      <c r="T185" t="s">
        <v>42</v>
      </c>
      <c r="U185" t="s">
        <v>415</v>
      </c>
      <c r="V185" t="s">
        <v>77</v>
      </c>
      <c r="W185" t="s">
        <v>415</v>
      </c>
      <c r="X185" t="s">
        <v>45</v>
      </c>
      <c r="Y185" t="s">
        <v>416</v>
      </c>
      <c r="Z185" t="s">
        <v>47</v>
      </c>
      <c r="AA185"/>
      <c r="AB185"/>
      <c r="AC185"/>
      <c r="AD185"/>
    </row>
    <row r="186" spans="1:30">
      <c r="A186">
        <v>3110100180</v>
      </c>
      <c r="B186" t="s">
        <v>30</v>
      </c>
      <c r="C186" t="s">
        <v>61</v>
      </c>
      <c r="D186" t="s">
        <v>71</v>
      </c>
      <c r="E186" t="s">
        <v>112</v>
      </c>
      <c r="F186" t="s">
        <v>64</v>
      </c>
      <c r="G186" t="s">
        <v>99</v>
      </c>
      <c r="H186" t="s">
        <v>50</v>
      </c>
      <c r="I186" t="s">
        <v>102</v>
      </c>
      <c r="J186" t="s">
        <v>374</v>
      </c>
      <c r="K186" t="str">
        <f>"na"</f>
        <v>0</v>
      </c>
      <c r="L186">
        <v>77650</v>
      </c>
      <c r="M186"/>
      <c r="N186" t="s">
        <v>38</v>
      </c>
      <c r="O186" t="s">
        <v>38</v>
      </c>
      <c r="P186" t="s">
        <v>53</v>
      </c>
      <c r="Q186" t="s">
        <v>38</v>
      </c>
      <c r="R186" t="s">
        <v>38</v>
      </c>
      <c r="S186" t="s">
        <v>42</v>
      </c>
      <c r="T186" t="s">
        <v>42</v>
      </c>
      <c r="U186" t="s">
        <v>415</v>
      </c>
      <c r="V186" t="s">
        <v>77</v>
      </c>
      <c r="W186" t="s">
        <v>415</v>
      </c>
      <c r="X186" t="s">
        <v>45</v>
      </c>
      <c r="Y186" t="s">
        <v>416</v>
      </c>
      <c r="Z186" t="s">
        <v>47</v>
      </c>
      <c r="AA186"/>
      <c r="AB186"/>
      <c r="AC186"/>
      <c r="AD186"/>
    </row>
    <row r="187" spans="1:30">
      <c r="A187">
        <v>3110100181</v>
      </c>
      <c r="B187" t="s">
        <v>30</v>
      </c>
      <c r="C187" t="s">
        <v>61</v>
      </c>
      <c r="D187" t="s">
        <v>71</v>
      </c>
      <c r="E187" t="s">
        <v>112</v>
      </c>
      <c r="F187" t="s">
        <v>64</v>
      </c>
      <c r="G187" t="s">
        <v>99</v>
      </c>
      <c r="H187" t="s">
        <v>50</v>
      </c>
      <c r="I187" t="s">
        <v>102</v>
      </c>
      <c r="J187" t="s">
        <v>374</v>
      </c>
      <c r="K187" t="str">
        <f>"na"</f>
        <v>0</v>
      </c>
      <c r="L187">
        <v>77650</v>
      </c>
      <c r="M187"/>
      <c r="N187" t="s">
        <v>38</v>
      </c>
      <c r="O187" t="s">
        <v>38</v>
      </c>
      <c r="P187" t="s">
        <v>53</v>
      </c>
      <c r="Q187" t="s">
        <v>38</v>
      </c>
      <c r="R187" t="s">
        <v>38</v>
      </c>
      <c r="S187" t="s">
        <v>42</v>
      </c>
      <c r="T187" t="s">
        <v>42</v>
      </c>
      <c r="U187" t="s">
        <v>415</v>
      </c>
      <c r="V187" t="s">
        <v>77</v>
      </c>
      <c r="W187" t="s">
        <v>415</v>
      </c>
      <c r="X187" t="s">
        <v>45</v>
      </c>
      <c r="Y187" t="s">
        <v>416</v>
      </c>
      <c r="Z187" t="s">
        <v>47</v>
      </c>
      <c r="AA187"/>
      <c r="AB187"/>
      <c r="AC187"/>
      <c r="AD187"/>
    </row>
    <row r="188" spans="1:30">
      <c r="A188">
        <v>3110100182</v>
      </c>
      <c r="B188" t="s">
        <v>30</v>
      </c>
      <c r="C188" t="s">
        <v>61</v>
      </c>
      <c r="D188" t="s">
        <v>71</v>
      </c>
      <c r="E188" t="s">
        <v>112</v>
      </c>
      <c r="F188" t="s">
        <v>64</v>
      </c>
      <c r="G188" t="s">
        <v>99</v>
      </c>
      <c r="H188" t="s">
        <v>50</v>
      </c>
      <c r="I188" t="s">
        <v>102</v>
      </c>
      <c r="J188" t="s">
        <v>374</v>
      </c>
      <c r="K188" t="str">
        <f>"na"</f>
        <v>0</v>
      </c>
      <c r="L188">
        <v>77650</v>
      </c>
      <c r="M188"/>
      <c r="N188" t="s">
        <v>38</v>
      </c>
      <c r="O188" t="s">
        <v>38</v>
      </c>
      <c r="P188" t="s">
        <v>53</v>
      </c>
      <c r="Q188" t="s">
        <v>38</v>
      </c>
      <c r="R188" t="s">
        <v>38</v>
      </c>
      <c r="S188" t="s">
        <v>42</v>
      </c>
      <c r="T188" t="s">
        <v>42</v>
      </c>
      <c r="U188" t="s">
        <v>415</v>
      </c>
      <c r="V188" t="s">
        <v>77</v>
      </c>
      <c r="W188" t="s">
        <v>415</v>
      </c>
      <c r="X188" t="s">
        <v>45</v>
      </c>
      <c r="Y188" t="s">
        <v>416</v>
      </c>
      <c r="Z188" t="s">
        <v>47</v>
      </c>
      <c r="AA188"/>
      <c r="AB188"/>
      <c r="AC188"/>
      <c r="AD188"/>
    </row>
    <row r="189" spans="1:30">
      <c r="A189">
        <v>3110100183</v>
      </c>
      <c r="B189" t="s">
        <v>30</v>
      </c>
      <c r="C189" t="s">
        <v>61</v>
      </c>
      <c r="D189" t="s">
        <v>71</v>
      </c>
      <c r="E189" t="s">
        <v>112</v>
      </c>
      <c r="F189" t="s">
        <v>64</v>
      </c>
      <c r="G189" t="s">
        <v>99</v>
      </c>
      <c r="H189" t="s">
        <v>50</v>
      </c>
      <c r="I189" t="s">
        <v>102</v>
      </c>
      <c r="J189" t="s">
        <v>374</v>
      </c>
      <c r="K189" t="str">
        <f>"na"</f>
        <v>0</v>
      </c>
      <c r="L189">
        <v>77650</v>
      </c>
      <c r="M189"/>
      <c r="N189" t="s">
        <v>38</v>
      </c>
      <c r="O189" t="s">
        <v>38</v>
      </c>
      <c r="P189" t="s">
        <v>53</v>
      </c>
      <c r="Q189" t="s">
        <v>38</v>
      </c>
      <c r="R189" t="s">
        <v>38</v>
      </c>
      <c r="S189" t="s">
        <v>42</v>
      </c>
      <c r="T189" t="s">
        <v>42</v>
      </c>
      <c r="U189" t="s">
        <v>415</v>
      </c>
      <c r="V189" t="s">
        <v>77</v>
      </c>
      <c r="W189" t="s">
        <v>415</v>
      </c>
      <c r="X189" t="s">
        <v>45</v>
      </c>
      <c r="Y189" t="s">
        <v>416</v>
      </c>
      <c r="Z189" t="s">
        <v>47</v>
      </c>
      <c r="AA189"/>
      <c r="AB189"/>
      <c r="AC189"/>
      <c r="AD189"/>
    </row>
    <row r="190" spans="1:30">
      <c r="A190">
        <v>3110100184</v>
      </c>
      <c r="B190" t="s">
        <v>30</v>
      </c>
      <c r="C190" t="s">
        <v>61</v>
      </c>
      <c r="D190" t="s">
        <v>71</v>
      </c>
      <c r="E190" t="s">
        <v>112</v>
      </c>
      <c r="F190" t="s">
        <v>64</v>
      </c>
      <c r="G190" t="s">
        <v>99</v>
      </c>
      <c r="H190" t="s">
        <v>50</v>
      </c>
      <c r="I190" t="s">
        <v>102</v>
      </c>
      <c r="J190" t="s">
        <v>374</v>
      </c>
      <c r="K190" t="str">
        <f>"na"</f>
        <v>0</v>
      </c>
      <c r="L190">
        <v>77650</v>
      </c>
      <c r="M190"/>
      <c r="N190" t="s">
        <v>38</v>
      </c>
      <c r="O190" t="s">
        <v>38</v>
      </c>
      <c r="P190" t="s">
        <v>53</v>
      </c>
      <c r="Q190" t="s">
        <v>38</v>
      </c>
      <c r="R190" t="s">
        <v>38</v>
      </c>
      <c r="S190" t="s">
        <v>42</v>
      </c>
      <c r="T190" t="s">
        <v>42</v>
      </c>
      <c r="U190" t="s">
        <v>415</v>
      </c>
      <c r="V190" t="s">
        <v>77</v>
      </c>
      <c r="W190" t="s">
        <v>415</v>
      </c>
      <c r="X190" t="s">
        <v>45</v>
      </c>
      <c r="Y190" t="s">
        <v>416</v>
      </c>
      <c r="Z190" t="s">
        <v>47</v>
      </c>
      <c r="AA190"/>
      <c r="AB190"/>
      <c r="AC190"/>
      <c r="AD190"/>
    </row>
    <row r="191" spans="1:30">
      <c r="A191">
        <v>3110100185</v>
      </c>
      <c r="B191" t="s">
        <v>30</v>
      </c>
      <c r="C191" t="s">
        <v>61</v>
      </c>
      <c r="D191" t="s">
        <v>71</v>
      </c>
      <c r="E191" t="s">
        <v>112</v>
      </c>
      <c r="F191" t="s">
        <v>64</v>
      </c>
      <c r="G191" t="s">
        <v>99</v>
      </c>
      <c r="H191" t="s">
        <v>50</v>
      </c>
      <c r="I191" t="s">
        <v>102</v>
      </c>
      <c r="J191" t="s">
        <v>374</v>
      </c>
      <c r="K191" t="str">
        <f>"na"</f>
        <v>0</v>
      </c>
      <c r="L191">
        <v>77650</v>
      </c>
      <c r="M191"/>
      <c r="N191" t="s">
        <v>38</v>
      </c>
      <c r="O191" t="s">
        <v>38</v>
      </c>
      <c r="P191" t="s">
        <v>53</v>
      </c>
      <c r="Q191" t="s">
        <v>38</v>
      </c>
      <c r="R191" t="s">
        <v>38</v>
      </c>
      <c r="S191" t="s">
        <v>42</v>
      </c>
      <c r="T191" t="s">
        <v>42</v>
      </c>
      <c r="U191" t="s">
        <v>415</v>
      </c>
      <c r="V191" t="s">
        <v>77</v>
      </c>
      <c r="W191" t="s">
        <v>415</v>
      </c>
      <c r="X191" t="s">
        <v>45</v>
      </c>
      <c r="Y191" t="s">
        <v>416</v>
      </c>
      <c r="Z191" t="s">
        <v>47</v>
      </c>
      <c r="AA191"/>
      <c r="AB191"/>
      <c r="AC191"/>
      <c r="AD191"/>
    </row>
    <row r="192" spans="1:30">
      <c r="A192">
        <v>3110100186</v>
      </c>
      <c r="B192" t="s">
        <v>30</v>
      </c>
      <c r="C192" t="s">
        <v>61</v>
      </c>
      <c r="D192" t="s">
        <v>71</v>
      </c>
      <c r="E192" t="s">
        <v>112</v>
      </c>
      <c r="F192" t="s">
        <v>64</v>
      </c>
      <c r="G192" t="s">
        <v>99</v>
      </c>
      <c r="H192" t="s">
        <v>50</v>
      </c>
      <c r="I192" t="s">
        <v>102</v>
      </c>
      <c r="J192" t="s">
        <v>374</v>
      </c>
      <c r="K192" t="str">
        <f>"na"</f>
        <v>0</v>
      </c>
      <c r="L192">
        <v>77650</v>
      </c>
      <c r="M192"/>
      <c r="N192" t="s">
        <v>38</v>
      </c>
      <c r="O192" t="s">
        <v>38</v>
      </c>
      <c r="P192" t="s">
        <v>53</v>
      </c>
      <c r="Q192" t="s">
        <v>38</v>
      </c>
      <c r="R192" t="s">
        <v>38</v>
      </c>
      <c r="S192" t="s">
        <v>42</v>
      </c>
      <c r="T192" t="s">
        <v>42</v>
      </c>
      <c r="U192" t="s">
        <v>415</v>
      </c>
      <c r="V192" t="s">
        <v>77</v>
      </c>
      <c r="W192" t="s">
        <v>415</v>
      </c>
      <c r="X192" t="s">
        <v>45</v>
      </c>
      <c r="Y192" t="s">
        <v>416</v>
      </c>
      <c r="Z192" t="s">
        <v>47</v>
      </c>
      <c r="AA192"/>
      <c r="AB192"/>
      <c r="AC192"/>
      <c r="AD192"/>
    </row>
    <row r="193" spans="1:30">
      <c r="A193">
        <v>3110100187</v>
      </c>
      <c r="B193" t="s">
        <v>30</v>
      </c>
      <c r="C193" t="s">
        <v>61</v>
      </c>
      <c r="D193" t="s">
        <v>71</v>
      </c>
      <c r="E193" t="s">
        <v>112</v>
      </c>
      <c r="F193" t="s">
        <v>64</v>
      </c>
      <c r="G193" t="s">
        <v>99</v>
      </c>
      <c r="H193" t="s">
        <v>50</v>
      </c>
      <c r="I193" t="s">
        <v>102</v>
      </c>
      <c r="J193" t="s">
        <v>374</v>
      </c>
      <c r="K193" t="str">
        <f>"na"</f>
        <v>0</v>
      </c>
      <c r="L193">
        <v>77650</v>
      </c>
      <c r="M193"/>
      <c r="N193" t="s">
        <v>38</v>
      </c>
      <c r="O193" t="s">
        <v>38</v>
      </c>
      <c r="P193" t="s">
        <v>53</v>
      </c>
      <c r="Q193" t="s">
        <v>38</v>
      </c>
      <c r="R193" t="s">
        <v>38</v>
      </c>
      <c r="S193" t="s">
        <v>42</v>
      </c>
      <c r="T193" t="s">
        <v>42</v>
      </c>
      <c r="U193" t="s">
        <v>415</v>
      </c>
      <c r="V193" t="s">
        <v>77</v>
      </c>
      <c r="W193" t="s">
        <v>415</v>
      </c>
      <c r="X193" t="s">
        <v>45</v>
      </c>
      <c r="Y193" t="s">
        <v>416</v>
      </c>
      <c r="Z193" t="s">
        <v>47</v>
      </c>
      <c r="AA193"/>
      <c r="AB193"/>
      <c r="AC193"/>
      <c r="AD193"/>
    </row>
    <row r="194" spans="1:30">
      <c r="A194">
        <v>3110100188</v>
      </c>
      <c r="B194" t="s">
        <v>30</v>
      </c>
      <c r="C194" t="s">
        <v>61</v>
      </c>
      <c r="D194" t="s">
        <v>71</v>
      </c>
      <c r="E194" t="s">
        <v>112</v>
      </c>
      <c r="F194" t="s">
        <v>64</v>
      </c>
      <c r="G194" t="s">
        <v>99</v>
      </c>
      <c r="H194" t="s">
        <v>50</v>
      </c>
      <c r="I194" t="s">
        <v>102</v>
      </c>
      <c r="J194" t="s">
        <v>374</v>
      </c>
      <c r="K194" t="str">
        <f>"na"</f>
        <v>0</v>
      </c>
      <c r="L194">
        <v>77650</v>
      </c>
      <c r="M194"/>
      <c r="N194" t="s">
        <v>38</v>
      </c>
      <c r="O194" t="s">
        <v>38</v>
      </c>
      <c r="P194" t="s">
        <v>53</v>
      </c>
      <c r="Q194" t="s">
        <v>38</v>
      </c>
      <c r="R194" t="s">
        <v>38</v>
      </c>
      <c r="S194" t="s">
        <v>42</v>
      </c>
      <c r="T194" t="s">
        <v>42</v>
      </c>
      <c r="U194" t="s">
        <v>415</v>
      </c>
      <c r="V194" t="s">
        <v>77</v>
      </c>
      <c r="W194" t="s">
        <v>415</v>
      </c>
      <c r="X194" t="s">
        <v>45</v>
      </c>
      <c r="Y194" t="s">
        <v>416</v>
      </c>
      <c r="Z194" t="s">
        <v>47</v>
      </c>
      <c r="AA194"/>
      <c r="AB194"/>
      <c r="AC194"/>
      <c r="AD194"/>
    </row>
    <row r="195" spans="1:30">
      <c r="A195">
        <v>3110100189</v>
      </c>
      <c r="B195" t="s">
        <v>30</v>
      </c>
      <c r="C195" t="s">
        <v>61</v>
      </c>
      <c r="D195" t="s">
        <v>71</v>
      </c>
      <c r="E195" t="s">
        <v>112</v>
      </c>
      <c r="F195" t="s">
        <v>64</v>
      </c>
      <c r="G195" t="s">
        <v>99</v>
      </c>
      <c r="H195" t="s">
        <v>50</v>
      </c>
      <c r="I195" t="s">
        <v>417</v>
      </c>
      <c r="J195" t="s">
        <v>418</v>
      </c>
      <c r="K195" t="str">
        <f>"na"</f>
        <v>0</v>
      </c>
      <c r="L195">
        <v>38047</v>
      </c>
      <c r="M195"/>
      <c r="N195" t="s">
        <v>38</v>
      </c>
      <c r="O195" t="s">
        <v>38</v>
      </c>
      <c r="P195" t="s">
        <v>53</v>
      </c>
      <c r="Q195" t="s">
        <v>38</v>
      </c>
      <c r="R195" t="s">
        <v>38</v>
      </c>
      <c r="S195" t="s">
        <v>42</v>
      </c>
      <c r="T195" t="s">
        <v>42</v>
      </c>
      <c r="U195" t="s">
        <v>415</v>
      </c>
      <c r="V195" t="s">
        <v>77</v>
      </c>
      <c r="W195" t="s">
        <v>415</v>
      </c>
      <c r="X195" t="s">
        <v>45</v>
      </c>
      <c r="Y195" t="s">
        <v>419</v>
      </c>
      <c r="Z195" t="s">
        <v>47</v>
      </c>
      <c r="AA195"/>
      <c r="AB195"/>
      <c r="AC195"/>
      <c r="AD195"/>
    </row>
    <row r="196" spans="1:30">
      <c r="A196">
        <v>3110100190</v>
      </c>
      <c r="B196" t="s">
        <v>30</v>
      </c>
      <c r="C196" t="s">
        <v>61</v>
      </c>
      <c r="D196" t="s">
        <v>71</v>
      </c>
      <c r="E196" t="s">
        <v>112</v>
      </c>
      <c r="F196" t="s">
        <v>64</v>
      </c>
      <c r="G196" t="s">
        <v>99</v>
      </c>
      <c r="H196" t="s">
        <v>50</v>
      </c>
      <c r="I196" t="s">
        <v>417</v>
      </c>
      <c r="J196" t="s">
        <v>418</v>
      </c>
      <c r="K196" t="str">
        <f>"na"</f>
        <v>0</v>
      </c>
      <c r="L196">
        <v>38047</v>
      </c>
      <c r="M196"/>
      <c r="N196" t="s">
        <v>38</v>
      </c>
      <c r="O196" t="s">
        <v>38</v>
      </c>
      <c r="P196" t="s">
        <v>53</v>
      </c>
      <c r="Q196" t="s">
        <v>38</v>
      </c>
      <c r="R196" t="s">
        <v>38</v>
      </c>
      <c r="S196" t="s">
        <v>42</v>
      </c>
      <c r="T196" t="s">
        <v>42</v>
      </c>
      <c r="U196" t="s">
        <v>415</v>
      </c>
      <c r="V196" t="s">
        <v>77</v>
      </c>
      <c r="W196" t="s">
        <v>415</v>
      </c>
      <c r="X196" t="s">
        <v>45</v>
      </c>
      <c r="Y196" t="s">
        <v>419</v>
      </c>
      <c r="Z196" t="s">
        <v>47</v>
      </c>
      <c r="AA196"/>
      <c r="AB196"/>
      <c r="AC196"/>
      <c r="AD196"/>
    </row>
    <row r="197" spans="1:30">
      <c r="A197">
        <v>3110100191</v>
      </c>
      <c r="B197" t="s">
        <v>30</v>
      </c>
      <c r="C197" t="s">
        <v>61</v>
      </c>
      <c r="D197" t="s">
        <v>71</v>
      </c>
      <c r="E197" t="s">
        <v>112</v>
      </c>
      <c r="F197" t="s">
        <v>64</v>
      </c>
      <c r="G197" t="s">
        <v>99</v>
      </c>
      <c r="H197" t="s">
        <v>50</v>
      </c>
      <c r="I197" t="s">
        <v>417</v>
      </c>
      <c r="J197" t="s">
        <v>418</v>
      </c>
      <c r="K197" t="str">
        <f>"na"</f>
        <v>0</v>
      </c>
      <c r="L197">
        <v>38047</v>
      </c>
      <c r="M197"/>
      <c r="N197" t="s">
        <v>38</v>
      </c>
      <c r="O197" t="s">
        <v>38</v>
      </c>
      <c r="P197" t="s">
        <v>53</v>
      </c>
      <c r="Q197" t="s">
        <v>38</v>
      </c>
      <c r="R197" t="s">
        <v>38</v>
      </c>
      <c r="S197" t="s">
        <v>42</v>
      </c>
      <c r="T197" t="s">
        <v>42</v>
      </c>
      <c r="U197" t="s">
        <v>415</v>
      </c>
      <c r="V197" t="s">
        <v>77</v>
      </c>
      <c r="W197" t="s">
        <v>415</v>
      </c>
      <c r="X197" t="s">
        <v>45</v>
      </c>
      <c r="Y197" t="s">
        <v>419</v>
      </c>
      <c r="Z197" t="s">
        <v>47</v>
      </c>
      <c r="AA197"/>
      <c r="AB197"/>
      <c r="AC197"/>
      <c r="AD197"/>
    </row>
    <row r="198" spans="1:30">
      <c r="A198">
        <v>3110100192</v>
      </c>
      <c r="B198" t="s">
        <v>30</v>
      </c>
      <c r="C198" t="s">
        <v>61</v>
      </c>
      <c r="D198" t="s">
        <v>71</v>
      </c>
      <c r="E198" t="s">
        <v>112</v>
      </c>
      <c r="F198" t="s">
        <v>64</v>
      </c>
      <c r="G198" t="s">
        <v>99</v>
      </c>
      <c r="H198" t="s">
        <v>50</v>
      </c>
      <c r="I198" t="s">
        <v>417</v>
      </c>
      <c r="J198" t="s">
        <v>418</v>
      </c>
      <c r="K198" t="str">
        <f>"na"</f>
        <v>0</v>
      </c>
      <c r="L198">
        <v>38047</v>
      </c>
      <c r="M198"/>
      <c r="N198" t="s">
        <v>38</v>
      </c>
      <c r="O198" t="s">
        <v>38</v>
      </c>
      <c r="P198" t="s">
        <v>53</v>
      </c>
      <c r="Q198" t="s">
        <v>38</v>
      </c>
      <c r="R198" t="s">
        <v>38</v>
      </c>
      <c r="S198" t="s">
        <v>42</v>
      </c>
      <c r="T198" t="s">
        <v>42</v>
      </c>
      <c r="U198" t="s">
        <v>415</v>
      </c>
      <c r="V198" t="s">
        <v>77</v>
      </c>
      <c r="W198" t="s">
        <v>415</v>
      </c>
      <c r="X198" t="s">
        <v>45</v>
      </c>
      <c r="Y198" t="s">
        <v>419</v>
      </c>
      <c r="Z198" t="s">
        <v>47</v>
      </c>
      <c r="AA198"/>
      <c r="AB198"/>
      <c r="AC198"/>
      <c r="AD198"/>
    </row>
    <row r="199" spans="1:30">
      <c r="A199">
        <v>3110100193</v>
      </c>
      <c r="B199" t="s">
        <v>30</v>
      </c>
      <c r="C199" t="s">
        <v>61</v>
      </c>
      <c r="D199" t="s">
        <v>71</v>
      </c>
      <c r="E199" t="s">
        <v>112</v>
      </c>
      <c r="F199" t="s">
        <v>64</v>
      </c>
      <c r="G199" t="s">
        <v>99</v>
      </c>
      <c r="H199" t="s">
        <v>50</v>
      </c>
      <c r="I199" t="s">
        <v>417</v>
      </c>
      <c r="J199" t="s">
        <v>418</v>
      </c>
      <c r="K199" t="str">
        <f>"na"</f>
        <v>0</v>
      </c>
      <c r="L199">
        <v>38047</v>
      </c>
      <c r="M199"/>
      <c r="N199" t="s">
        <v>38</v>
      </c>
      <c r="O199" t="s">
        <v>38</v>
      </c>
      <c r="P199" t="s">
        <v>53</v>
      </c>
      <c r="Q199" t="s">
        <v>38</v>
      </c>
      <c r="R199" t="s">
        <v>38</v>
      </c>
      <c r="S199" t="s">
        <v>42</v>
      </c>
      <c r="T199" t="s">
        <v>42</v>
      </c>
      <c r="U199" t="s">
        <v>415</v>
      </c>
      <c r="V199" t="s">
        <v>77</v>
      </c>
      <c r="W199" t="s">
        <v>415</v>
      </c>
      <c r="X199" t="s">
        <v>45</v>
      </c>
      <c r="Y199" t="s">
        <v>419</v>
      </c>
      <c r="Z199" t="s">
        <v>47</v>
      </c>
      <c r="AA199"/>
      <c r="AB199"/>
      <c r="AC199"/>
      <c r="AD199"/>
    </row>
    <row r="200" spans="1:30">
      <c r="A200">
        <v>3110100194</v>
      </c>
      <c r="B200" t="s">
        <v>30</v>
      </c>
      <c r="C200" t="s">
        <v>61</v>
      </c>
      <c r="D200" t="s">
        <v>71</v>
      </c>
      <c r="E200" t="s">
        <v>112</v>
      </c>
      <c r="F200" t="s">
        <v>64</v>
      </c>
      <c r="G200" t="s">
        <v>99</v>
      </c>
      <c r="H200" t="s">
        <v>50</v>
      </c>
      <c r="I200" t="s">
        <v>417</v>
      </c>
      <c r="J200" t="s">
        <v>418</v>
      </c>
      <c r="K200" t="str">
        <f>"na"</f>
        <v>0</v>
      </c>
      <c r="L200">
        <v>38047</v>
      </c>
      <c r="M200"/>
      <c r="N200" t="s">
        <v>38</v>
      </c>
      <c r="O200" t="s">
        <v>38</v>
      </c>
      <c r="P200" t="s">
        <v>53</v>
      </c>
      <c r="Q200" t="s">
        <v>38</v>
      </c>
      <c r="R200" t="s">
        <v>38</v>
      </c>
      <c r="S200" t="s">
        <v>42</v>
      </c>
      <c r="T200" t="s">
        <v>42</v>
      </c>
      <c r="U200" t="s">
        <v>415</v>
      </c>
      <c r="V200" t="s">
        <v>77</v>
      </c>
      <c r="W200" t="s">
        <v>415</v>
      </c>
      <c r="X200" t="s">
        <v>45</v>
      </c>
      <c r="Y200" t="s">
        <v>419</v>
      </c>
      <c r="Z200" t="s">
        <v>47</v>
      </c>
      <c r="AA200"/>
      <c r="AB200"/>
      <c r="AC200"/>
      <c r="AD200"/>
    </row>
    <row r="201" spans="1:30">
      <c r="A201">
        <v>3110100195</v>
      </c>
      <c r="B201" t="s">
        <v>30</v>
      </c>
      <c r="C201" t="s">
        <v>61</v>
      </c>
      <c r="D201" t="s">
        <v>71</v>
      </c>
      <c r="E201" t="s">
        <v>112</v>
      </c>
      <c r="F201" t="s">
        <v>64</v>
      </c>
      <c r="G201" t="s">
        <v>99</v>
      </c>
      <c r="H201" t="s">
        <v>50</v>
      </c>
      <c r="I201" t="s">
        <v>417</v>
      </c>
      <c r="J201" t="s">
        <v>418</v>
      </c>
      <c r="K201" t="str">
        <f>"na"</f>
        <v>0</v>
      </c>
      <c r="L201">
        <v>38047</v>
      </c>
      <c r="M201"/>
      <c r="N201" t="s">
        <v>38</v>
      </c>
      <c r="O201" t="s">
        <v>38</v>
      </c>
      <c r="P201" t="s">
        <v>53</v>
      </c>
      <c r="Q201" t="s">
        <v>38</v>
      </c>
      <c r="R201" t="s">
        <v>38</v>
      </c>
      <c r="S201" t="s">
        <v>42</v>
      </c>
      <c r="T201" t="s">
        <v>42</v>
      </c>
      <c r="U201" t="s">
        <v>415</v>
      </c>
      <c r="V201" t="s">
        <v>77</v>
      </c>
      <c r="W201" t="s">
        <v>415</v>
      </c>
      <c r="X201" t="s">
        <v>45</v>
      </c>
      <c r="Y201" t="s">
        <v>419</v>
      </c>
      <c r="Z201" t="s">
        <v>47</v>
      </c>
      <c r="AA201"/>
      <c r="AB201"/>
      <c r="AC201"/>
      <c r="AD201"/>
    </row>
    <row r="202" spans="1:30">
      <c r="A202">
        <v>3110100196</v>
      </c>
      <c r="B202" t="s">
        <v>30</v>
      </c>
      <c r="C202" t="s">
        <v>61</v>
      </c>
      <c r="D202" t="s">
        <v>71</v>
      </c>
      <c r="E202" t="s">
        <v>112</v>
      </c>
      <c r="F202" t="s">
        <v>64</v>
      </c>
      <c r="G202" t="s">
        <v>99</v>
      </c>
      <c r="H202" t="s">
        <v>50</v>
      </c>
      <c r="I202" t="s">
        <v>417</v>
      </c>
      <c r="J202" t="s">
        <v>418</v>
      </c>
      <c r="K202" t="str">
        <f>"na"</f>
        <v>0</v>
      </c>
      <c r="L202">
        <v>38047</v>
      </c>
      <c r="M202"/>
      <c r="N202" t="s">
        <v>38</v>
      </c>
      <c r="O202" t="s">
        <v>38</v>
      </c>
      <c r="P202" t="s">
        <v>53</v>
      </c>
      <c r="Q202" t="s">
        <v>38</v>
      </c>
      <c r="R202" t="s">
        <v>38</v>
      </c>
      <c r="S202" t="s">
        <v>42</v>
      </c>
      <c r="T202" t="s">
        <v>42</v>
      </c>
      <c r="U202" t="s">
        <v>415</v>
      </c>
      <c r="V202" t="s">
        <v>77</v>
      </c>
      <c r="W202" t="s">
        <v>415</v>
      </c>
      <c r="X202" t="s">
        <v>45</v>
      </c>
      <c r="Y202" t="s">
        <v>419</v>
      </c>
      <c r="Z202" t="s">
        <v>47</v>
      </c>
      <c r="AA202"/>
      <c r="AB202"/>
      <c r="AC202"/>
      <c r="AD202"/>
    </row>
    <row r="203" spans="1:30">
      <c r="A203">
        <v>3110100197</v>
      </c>
      <c r="B203" t="s">
        <v>30</v>
      </c>
      <c r="C203" t="s">
        <v>61</v>
      </c>
      <c r="D203" t="s">
        <v>71</v>
      </c>
      <c r="E203" t="s">
        <v>112</v>
      </c>
      <c r="F203" t="s">
        <v>64</v>
      </c>
      <c r="G203" t="s">
        <v>99</v>
      </c>
      <c r="H203" t="s">
        <v>50</v>
      </c>
      <c r="I203" t="s">
        <v>417</v>
      </c>
      <c r="J203" t="s">
        <v>418</v>
      </c>
      <c r="K203" t="str">
        <f>"na"</f>
        <v>0</v>
      </c>
      <c r="L203">
        <v>38047</v>
      </c>
      <c r="M203"/>
      <c r="N203" t="s">
        <v>38</v>
      </c>
      <c r="O203" t="s">
        <v>38</v>
      </c>
      <c r="P203" t="s">
        <v>53</v>
      </c>
      <c r="Q203" t="s">
        <v>38</v>
      </c>
      <c r="R203" t="s">
        <v>38</v>
      </c>
      <c r="S203" t="s">
        <v>42</v>
      </c>
      <c r="T203" t="s">
        <v>42</v>
      </c>
      <c r="U203" t="s">
        <v>415</v>
      </c>
      <c r="V203" t="s">
        <v>77</v>
      </c>
      <c r="W203" t="s">
        <v>415</v>
      </c>
      <c r="X203" t="s">
        <v>45</v>
      </c>
      <c r="Y203" t="s">
        <v>419</v>
      </c>
      <c r="Z203" t="s">
        <v>47</v>
      </c>
      <c r="AA203"/>
      <c r="AB203"/>
      <c r="AC203" t="s">
        <v>376</v>
      </c>
      <c r="AD203"/>
    </row>
    <row r="204" spans="1:30">
      <c r="A204">
        <v>3110100198</v>
      </c>
      <c r="B204" t="s">
        <v>30</v>
      </c>
      <c r="C204" t="s">
        <v>61</v>
      </c>
      <c r="D204" t="s">
        <v>71</v>
      </c>
      <c r="E204" t="s">
        <v>112</v>
      </c>
      <c r="F204" t="s">
        <v>64</v>
      </c>
      <c r="G204" t="s">
        <v>99</v>
      </c>
      <c r="H204" t="s">
        <v>50</v>
      </c>
      <c r="I204" t="s">
        <v>417</v>
      </c>
      <c r="J204" t="s">
        <v>418</v>
      </c>
      <c r="K204" t="str">
        <f>"na"</f>
        <v>0</v>
      </c>
      <c r="L204">
        <v>38047</v>
      </c>
      <c r="M204"/>
      <c r="N204" t="s">
        <v>38</v>
      </c>
      <c r="O204" t="s">
        <v>38</v>
      </c>
      <c r="P204" t="s">
        <v>53</v>
      </c>
      <c r="Q204" t="s">
        <v>38</v>
      </c>
      <c r="R204" t="s">
        <v>38</v>
      </c>
      <c r="S204" t="s">
        <v>42</v>
      </c>
      <c r="T204" t="s">
        <v>42</v>
      </c>
      <c r="U204" t="s">
        <v>415</v>
      </c>
      <c r="V204" t="s">
        <v>77</v>
      </c>
      <c r="W204" t="s">
        <v>415</v>
      </c>
      <c r="X204" t="s">
        <v>45</v>
      </c>
      <c r="Y204" t="s">
        <v>419</v>
      </c>
      <c r="Z204" t="s">
        <v>47</v>
      </c>
      <c r="AA204"/>
      <c r="AB204"/>
      <c r="AC204"/>
      <c r="AD204"/>
    </row>
    <row r="205" spans="1:30">
      <c r="A205">
        <v>3110100199</v>
      </c>
      <c r="B205" t="s">
        <v>30</v>
      </c>
      <c r="C205" t="s">
        <v>61</v>
      </c>
      <c r="D205" t="s">
        <v>71</v>
      </c>
      <c r="E205" t="s">
        <v>112</v>
      </c>
      <c r="F205" t="s">
        <v>64</v>
      </c>
      <c r="G205" t="s">
        <v>99</v>
      </c>
      <c r="H205" t="s">
        <v>50</v>
      </c>
      <c r="I205" t="s">
        <v>417</v>
      </c>
      <c r="J205" t="s">
        <v>418</v>
      </c>
      <c r="K205" t="str">
        <f>"na"</f>
        <v>0</v>
      </c>
      <c r="L205">
        <v>38047</v>
      </c>
      <c r="M205"/>
      <c r="N205" t="s">
        <v>38</v>
      </c>
      <c r="O205" t="s">
        <v>38</v>
      </c>
      <c r="P205" t="s">
        <v>53</v>
      </c>
      <c r="Q205" t="s">
        <v>38</v>
      </c>
      <c r="R205" t="s">
        <v>38</v>
      </c>
      <c r="S205" t="s">
        <v>42</v>
      </c>
      <c r="T205" t="s">
        <v>42</v>
      </c>
      <c r="U205" t="s">
        <v>415</v>
      </c>
      <c r="V205" t="s">
        <v>77</v>
      </c>
      <c r="W205" t="s">
        <v>415</v>
      </c>
      <c r="X205" t="s">
        <v>45</v>
      </c>
      <c r="Y205" t="s">
        <v>419</v>
      </c>
      <c r="Z205" t="s">
        <v>47</v>
      </c>
      <c r="AA205"/>
      <c r="AB205"/>
      <c r="AC205"/>
      <c r="AD205"/>
    </row>
    <row r="206" spans="1:30">
      <c r="A206">
        <v>3110100208</v>
      </c>
      <c r="B206" t="s">
        <v>30</v>
      </c>
      <c r="C206" t="s">
        <v>61</v>
      </c>
      <c r="D206" t="s">
        <v>71</v>
      </c>
      <c r="E206" t="s">
        <v>112</v>
      </c>
      <c r="F206" t="s">
        <v>147</v>
      </c>
      <c r="G206" t="s">
        <v>360</v>
      </c>
      <c r="H206" t="s">
        <v>35</v>
      </c>
      <c r="I206" t="s">
        <v>420</v>
      </c>
      <c r="J206" t="s">
        <v>421</v>
      </c>
      <c r="K206" t="str">
        <f>"48422614"</f>
        <v>0</v>
      </c>
      <c r="L206">
        <v>719000</v>
      </c>
      <c r="M206"/>
      <c r="N206" t="s">
        <v>38</v>
      </c>
      <c r="O206" t="s">
        <v>38</v>
      </c>
      <c r="P206" t="s">
        <v>53</v>
      </c>
      <c r="Q206" t="s">
        <v>38</v>
      </c>
      <c r="R206" t="s">
        <v>38</v>
      </c>
      <c r="S206" t="s">
        <v>42</v>
      </c>
      <c r="T206" t="s">
        <v>42</v>
      </c>
      <c r="U206" t="s">
        <v>415</v>
      </c>
      <c r="V206" t="s">
        <v>77</v>
      </c>
      <c r="W206" t="s">
        <v>415</v>
      </c>
      <c r="X206" t="s">
        <v>45</v>
      </c>
      <c r="Y206" t="s">
        <v>419</v>
      </c>
      <c r="Z206" t="s">
        <v>47</v>
      </c>
      <c r="AA206"/>
      <c r="AB206"/>
      <c r="AC206"/>
      <c r="AD206"/>
    </row>
    <row r="207" spans="1:30">
      <c r="A207">
        <v>3110100209</v>
      </c>
      <c r="B207" t="s">
        <v>30</v>
      </c>
      <c r="C207" t="s">
        <v>61</v>
      </c>
      <c r="D207" t="s">
        <v>71</v>
      </c>
      <c r="E207" t="s">
        <v>112</v>
      </c>
      <c r="F207" t="s">
        <v>387</v>
      </c>
      <c r="G207" t="s">
        <v>422</v>
      </c>
      <c r="H207" t="s">
        <v>35</v>
      </c>
      <c r="I207" t="s">
        <v>423</v>
      </c>
      <c r="J207" t="s">
        <v>424</v>
      </c>
      <c r="K207" t="str">
        <f>"ev74325-2020"</f>
        <v>0</v>
      </c>
      <c r="L207">
        <v>1100000</v>
      </c>
      <c r="M207"/>
      <c r="N207" t="s">
        <v>38</v>
      </c>
      <c r="O207" t="s">
        <v>38</v>
      </c>
      <c r="P207" t="s">
        <v>53</v>
      </c>
      <c r="Q207" t="s">
        <v>38</v>
      </c>
      <c r="R207" t="s">
        <v>38</v>
      </c>
      <c r="S207" t="s">
        <v>42</v>
      </c>
      <c r="T207" t="s">
        <v>42</v>
      </c>
      <c r="U207" t="s">
        <v>415</v>
      </c>
      <c r="V207" t="s">
        <v>77</v>
      </c>
      <c r="W207" t="s">
        <v>415</v>
      </c>
      <c r="X207" t="s">
        <v>45</v>
      </c>
      <c r="Y207" t="s">
        <v>419</v>
      </c>
      <c r="Z207" t="s">
        <v>47</v>
      </c>
      <c r="AA207"/>
      <c r="AB207"/>
      <c r="AC207"/>
      <c r="AD207"/>
    </row>
    <row r="208" spans="1:30">
      <c r="A208">
        <v>3110100210</v>
      </c>
      <c r="B208" t="s">
        <v>30</v>
      </c>
      <c r="C208" t="s">
        <v>61</v>
      </c>
      <c r="D208" t="s">
        <v>71</v>
      </c>
      <c r="E208" t="s">
        <v>112</v>
      </c>
      <c r="F208" t="s">
        <v>387</v>
      </c>
      <c r="G208" t="s">
        <v>422</v>
      </c>
      <c r="H208" t="s">
        <v>35</v>
      </c>
      <c r="I208" t="s">
        <v>423</v>
      </c>
      <c r="J208" t="s">
        <v>424</v>
      </c>
      <c r="K208" t="str">
        <f>"ev74346-2020"</f>
        <v>0</v>
      </c>
      <c r="L208">
        <v>1100000</v>
      </c>
      <c r="M208"/>
      <c r="N208" t="s">
        <v>38</v>
      </c>
      <c r="O208" t="s">
        <v>38</v>
      </c>
      <c r="P208" t="s">
        <v>53</v>
      </c>
      <c r="Q208" t="s">
        <v>38</v>
      </c>
      <c r="R208" t="s">
        <v>38</v>
      </c>
      <c r="S208" t="s">
        <v>42</v>
      </c>
      <c r="T208" t="s">
        <v>42</v>
      </c>
      <c r="U208" t="s">
        <v>415</v>
      </c>
      <c r="V208" t="s">
        <v>77</v>
      </c>
      <c r="W208" t="s">
        <v>415</v>
      </c>
      <c r="X208" t="s">
        <v>45</v>
      </c>
      <c r="Y208" t="s">
        <v>419</v>
      </c>
      <c r="Z208" t="s">
        <v>47</v>
      </c>
      <c r="AA208"/>
      <c r="AB208"/>
      <c r="AC208"/>
      <c r="AD208"/>
    </row>
    <row r="209" spans="1:30">
      <c r="A209">
        <v>3110100211</v>
      </c>
      <c r="B209" t="s">
        <v>30</v>
      </c>
      <c r="C209" t="s">
        <v>61</v>
      </c>
      <c r="D209" t="s">
        <v>71</v>
      </c>
      <c r="E209" t="s">
        <v>112</v>
      </c>
      <c r="F209" t="s">
        <v>147</v>
      </c>
      <c r="G209" t="s">
        <v>148</v>
      </c>
      <c r="H209" t="s">
        <v>35</v>
      </c>
      <c r="I209" t="s">
        <v>149</v>
      </c>
      <c r="J209" t="s">
        <v>425</v>
      </c>
      <c r="K209" t="str">
        <f>"v301A1911017"</f>
        <v>0</v>
      </c>
      <c r="L209">
        <v>47952</v>
      </c>
      <c r="M209"/>
      <c r="N209" t="s">
        <v>38</v>
      </c>
      <c r="O209" t="s">
        <v>38</v>
      </c>
      <c r="P209" t="s">
        <v>53</v>
      </c>
      <c r="Q209" t="s">
        <v>38</v>
      </c>
      <c r="R209" t="s">
        <v>38</v>
      </c>
      <c r="S209" t="s">
        <v>42</v>
      </c>
      <c r="T209" t="s">
        <v>42</v>
      </c>
      <c r="U209" t="s">
        <v>415</v>
      </c>
      <c r="V209" t="s">
        <v>77</v>
      </c>
      <c r="W209" t="s">
        <v>415</v>
      </c>
      <c r="X209" t="s">
        <v>45</v>
      </c>
      <c r="Y209" t="s">
        <v>419</v>
      </c>
      <c r="Z209" t="s">
        <v>47</v>
      </c>
      <c r="AA209"/>
      <c r="AB209"/>
      <c r="AC209"/>
      <c r="AD209"/>
    </row>
    <row r="210" spans="1:30">
      <c r="A210">
        <v>3110100200</v>
      </c>
      <c r="B210" t="s">
        <v>30</v>
      </c>
      <c r="C210" t="s">
        <v>61</v>
      </c>
      <c r="D210" t="s">
        <v>71</v>
      </c>
      <c r="E210" t="s">
        <v>112</v>
      </c>
      <c r="F210" t="s">
        <v>64</v>
      </c>
      <c r="G210" t="s">
        <v>99</v>
      </c>
      <c r="H210" t="s">
        <v>50</v>
      </c>
      <c r="I210" t="s">
        <v>417</v>
      </c>
      <c r="J210" t="s">
        <v>418</v>
      </c>
      <c r="K210" t="str">
        <f>"na"</f>
        <v>0</v>
      </c>
      <c r="L210">
        <v>38047</v>
      </c>
      <c r="M210"/>
      <c r="N210" t="s">
        <v>38</v>
      </c>
      <c r="O210" t="s">
        <v>38</v>
      </c>
      <c r="P210" t="s">
        <v>53</v>
      </c>
      <c r="Q210" t="s">
        <v>38</v>
      </c>
      <c r="R210" t="s">
        <v>38</v>
      </c>
      <c r="S210" t="s">
        <v>42</v>
      </c>
      <c r="T210" t="s">
        <v>42</v>
      </c>
      <c r="U210" t="s">
        <v>415</v>
      </c>
      <c r="V210" t="s">
        <v>77</v>
      </c>
      <c r="W210" t="s">
        <v>415</v>
      </c>
      <c r="X210" t="s">
        <v>45</v>
      </c>
      <c r="Y210" t="s">
        <v>419</v>
      </c>
      <c r="Z210" t="s">
        <v>47</v>
      </c>
      <c r="AA210"/>
      <c r="AB210"/>
      <c r="AC210"/>
      <c r="AD210"/>
    </row>
    <row r="211" spans="1:30">
      <c r="A211">
        <v>3110100201</v>
      </c>
      <c r="B211" t="s">
        <v>30</v>
      </c>
      <c r="C211" t="s">
        <v>61</v>
      </c>
      <c r="D211" t="s">
        <v>71</v>
      </c>
      <c r="E211" t="s">
        <v>112</v>
      </c>
      <c r="F211" t="s">
        <v>64</v>
      </c>
      <c r="G211" t="s">
        <v>99</v>
      </c>
      <c r="H211" t="s">
        <v>50</v>
      </c>
      <c r="I211" t="s">
        <v>417</v>
      </c>
      <c r="J211" t="s">
        <v>418</v>
      </c>
      <c r="K211" t="str">
        <f>"na"</f>
        <v>0</v>
      </c>
      <c r="L211">
        <v>38047</v>
      </c>
      <c r="M211"/>
      <c r="N211" t="s">
        <v>38</v>
      </c>
      <c r="O211" t="s">
        <v>38</v>
      </c>
      <c r="P211" t="s">
        <v>53</v>
      </c>
      <c r="Q211" t="s">
        <v>38</v>
      </c>
      <c r="R211" t="s">
        <v>38</v>
      </c>
      <c r="S211" t="s">
        <v>42</v>
      </c>
      <c r="T211" t="s">
        <v>42</v>
      </c>
      <c r="U211" t="s">
        <v>415</v>
      </c>
      <c r="V211" t="s">
        <v>77</v>
      </c>
      <c r="W211" t="s">
        <v>415</v>
      </c>
      <c r="X211" t="s">
        <v>45</v>
      </c>
      <c r="Y211" t="s">
        <v>419</v>
      </c>
      <c r="Z211" t="s">
        <v>47</v>
      </c>
      <c r="AA211"/>
      <c r="AB211"/>
      <c r="AC211"/>
      <c r="AD211"/>
    </row>
    <row r="212" spans="1:30">
      <c r="A212">
        <v>3110100202</v>
      </c>
      <c r="B212" t="s">
        <v>30</v>
      </c>
      <c r="C212" t="s">
        <v>61</v>
      </c>
      <c r="D212" t="s">
        <v>71</v>
      </c>
      <c r="E212" t="s">
        <v>112</v>
      </c>
      <c r="F212" t="s">
        <v>64</v>
      </c>
      <c r="G212" t="s">
        <v>99</v>
      </c>
      <c r="H212" t="s">
        <v>50</v>
      </c>
      <c r="I212" t="s">
        <v>311</v>
      </c>
      <c r="J212" t="s">
        <v>426</v>
      </c>
      <c r="K212" t="str">
        <f>"na"</f>
        <v>0</v>
      </c>
      <c r="L212">
        <v>36000</v>
      </c>
      <c r="M212"/>
      <c r="N212" t="s">
        <v>38</v>
      </c>
      <c r="O212" t="s">
        <v>38</v>
      </c>
      <c r="P212" t="s">
        <v>53</v>
      </c>
      <c r="Q212" t="s">
        <v>38</v>
      </c>
      <c r="R212" t="s">
        <v>38</v>
      </c>
      <c r="S212" t="s">
        <v>42</v>
      </c>
      <c r="T212" t="s">
        <v>42</v>
      </c>
      <c r="U212" t="s">
        <v>415</v>
      </c>
      <c r="V212" t="s">
        <v>77</v>
      </c>
      <c r="W212" t="s">
        <v>415</v>
      </c>
      <c r="X212" t="s">
        <v>45</v>
      </c>
      <c r="Y212" t="s">
        <v>419</v>
      </c>
      <c r="Z212" t="s">
        <v>47</v>
      </c>
      <c r="AA212"/>
      <c r="AB212"/>
      <c r="AC212"/>
      <c r="AD212"/>
    </row>
    <row r="213" spans="1:30">
      <c r="A213">
        <v>3110100203</v>
      </c>
      <c r="B213" t="s">
        <v>30</v>
      </c>
      <c r="C213" t="s">
        <v>61</v>
      </c>
      <c r="D213" t="s">
        <v>71</v>
      </c>
      <c r="E213" t="s">
        <v>112</v>
      </c>
      <c r="F213" t="s">
        <v>64</v>
      </c>
      <c r="G213" t="s">
        <v>99</v>
      </c>
      <c r="H213" t="s">
        <v>50</v>
      </c>
      <c r="I213" t="s">
        <v>311</v>
      </c>
      <c r="J213" t="s">
        <v>426</v>
      </c>
      <c r="K213" t="str">
        <f>"na"</f>
        <v>0</v>
      </c>
      <c r="L213">
        <v>36000</v>
      </c>
      <c r="M213"/>
      <c r="N213" t="s">
        <v>38</v>
      </c>
      <c r="O213" t="s">
        <v>38</v>
      </c>
      <c r="P213" t="s">
        <v>53</v>
      </c>
      <c r="Q213" t="s">
        <v>38</v>
      </c>
      <c r="R213" t="s">
        <v>38</v>
      </c>
      <c r="S213" t="s">
        <v>42</v>
      </c>
      <c r="T213" t="s">
        <v>42</v>
      </c>
      <c r="U213" t="s">
        <v>415</v>
      </c>
      <c r="V213" t="s">
        <v>77</v>
      </c>
      <c r="W213" t="s">
        <v>415</v>
      </c>
      <c r="X213" t="s">
        <v>45</v>
      </c>
      <c r="Y213" t="s">
        <v>419</v>
      </c>
      <c r="Z213" t="s">
        <v>47</v>
      </c>
      <c r="AA213"/>
      <c r="AB213"/>
      <c r="AC213"/>
      <c r="AD213"/>
    </row>
    <row r="214" spans="1:30">
      <c r="A214">
        <v>3110100204</v>
      </c>
      <c r="B214" t="s">
        <v>30</v>
      </c>
      <c r="C214" t="s">
        <v>61</v>
      </c>
      <c r="D214" t="s">
        <v>71</v>
      </c>
      <c r="E214" t="s">
        <v>112</v>
      </c>
      <c r="F214" t="s">
        <v>64</v>
      </c>
      <c r="G214" t="s">
        <v>99</v>
      </c>
      <c r="H214" t="s">
        <v>50</v>
      </c>
      <c r="I214" t="s">
        <v>311</v>
      </c>
      <c r="J214" t="s">
        <v>426</v>
      </c>
      <c r="K214" t="str">
        <f>"na"</f>
        <v>0</v>
      </c>
      <c r="L214">
        <v>36000</v>
      </c>
      <c r="M214"/>
      <c r="N214" t="s">
        <v>38</v>
      </c>
      <c r="O214" t="s">
        <v>38</v>
      </c>
      <c r="P214" t="s">
        <v>53</v>
      </c>
      <c r="Q214" t="s">
        <v>38</v>
      </c>
      <c r="R214" t="s">
        <v>38</v>
      </c>
      <c r="S214" t="s">
        <v>42</v>
      </c>
      <c r="T214" t="s">
        <v>42</v>
      </c>
      <c r="U214" t="s">
        <v>415</v>
      </c>
      <c r="V214" t="s">
        <v>77</v>
      </c>
      <c r="W214" t="s">
        <v>415</v>
      </c>
      <c r="X214" t="s">
        <v>45</v>
      </c>
      <c r="Y214" t="s">
        <v>419</v>
      </c>
      <c r="Z214" t="s">
        <v>47</v>
      </c>
      <c r="AA214"/>
      <c r="AB214"/>
      <c r="AC214"/>
      <c r="AD214"/>
    </row>
    <row r="215" spans="1:30">
      <c r="A215">
        <v>3110100205</v>
      </c>
      <c r="B215" t="s">
        <v>30</v>
      </c>
      <c r="C215" t="s">
        <v>61</v>
      </c>
      <c r="D215" t="s">
        <v>71</v>
      </c>
      <c r="E215" t="s">
        <v>112</v>
      </c>
      <c r="F215" t="s">
        <v>64</v>
      </c>
      <c r="G215" t="s">
        <v>99</v>
      </c>
      <c r="H215" t="s">
        <v>50</v>
      </c>
      <c r="I215" t="s">
        <v>311</v>
      </c>
      <c r="J215" t="s">
        <v>426</v>
      </c>
      <c r="K215" t="str">
        <f>"na"</f>
        <v>0</v>
      </c>
      <c r="L215">
        <v>36000</v>
      </c>
      <c r="M215"/>
      <c r="N215" t="s">
        <v>38</v>
      </c>
      <c r="O215" t="s">
        <v>38</v>
      </c>
      <c r="P215" t="s">
        <v>53</v>
      </c>
      <c r="Q215" t="s">
        <v>38</v>
      </c>
      <c r="R215" t="s">
        <v>38</v>
      </c>
      <c r="S215" t="s">
        <v>42</v>
      </c>
      <c r="T215" t="s">
        <v>42</v>
      </c>
      <c r="U215" t="s">
        <v>415</v>
      </c>
      <c r="V215" t="s">
        <v>77</v>
      </c>
      <c r="W215" t="s">
        <v>415</v>
      </c>
      <c r="X215" t="s">
        <v>45</v>
      </c>
      <c r="Y215" t="s">
        <v>419</v>
      </c>
      <c r="Z215" t="s">
        <v>47</v>
      </c>
      <c r="AA215"/>
      <c r="AB215"/>
      <c r="AC215"/>
      <c r="AD215"/>
    </row>
    <row r="216" spans="1:30">
      <c r="A216">
        <v>3110100206</v>
      </c>
      <c r="B216" t="s">
        <v>30</v>
      </c>
      <c r="C216" t="s">
        <v>61</v>
      </c>
      <c r="D216" t="s">
        <v>71</v>
      </c>
      <c r="E216" t="s">
        <v>112</v>
      </c>
      <c r="F216" t="s">
        <v>64</v>
      </c>
      <c r="G216" t="s">
        <v>99</v>
      </c>
      <c r="H216" t="s">
        <v>50</v>
      </c>
      <c r="I216" t="s">
        <v>311</v>
      </c>
      <c r="J216" t="s">
        <v>426</v>
      </c>
      <c r="K216" t="str">
        <f>"na"</f>
        <v>0</v>
      </c>
      <c r="L216">
        <v>36000</v>
      </c>
      <c r="M216"/>
      <c r="N216" t="s">
        <v>38</v>
      </c>
      <c r="O216" t="s">
        <v>38</v>
      </c>
      <c r="P216" t="s">
        <v>53</v>
      </c>
      <c r="Q216" t="s">
        <v>38</v>
      </c>
      <c r="R216" t="s">
        <v>38</v>
      </c>
      <c r="S216" t="s">
        <v>42</v>
      </c>
      <c r="T216" t="s">
        <v>42</v>
      </c>
      <c r="U216" t="s">
        <v>415</v>
      </c>
      <c r="V216" t="s">
        <v>77</v>
      </c>
      <c r="W216" t="s">
        <v>415</v>
      </c>
      <c r="X216" t="s">
        <v>45</v>
      </c>
      <c r="Y216" t="s">
        <v>419</v>
      </c>
      <c r="Z216" t="s">
        <v>47</v>
      </c>
      <c r="AA216"/>
      <c r="AB216"/>
      <c r="AC216"/>
      <c r="AD216"/>
    </row>
    <row r="217" spans="1:30">
      <c r="A217">
        <v>3110100207</v>
      </c>
      <c r="B217" t="s">
        <v>30</v>
      </c>
      <c r="C217" t="s">
        <v>61</v>
      </c>
      <c r="D217" t="s">
        <v>71</v>
      </c>
      <c r="E217" t="s">
        <v>112</v>
      </c>
      <c r="F217" t="s">
        <v>64</v>
      </c>
      <c r="G217" t="s">
        <v>99</v>
      </c>
      <c r="H217" t="s">
        <v>50</v>
      </c>
      <c r="I217" t="s">
        <v>408</v>
      </c>
      <c r="J217" t="s">
        <v>409</v>
      </c>
      <c r="K217" t="str">
        <f>"na"</f>
        <v>0</v>
      </c>
      <c r="L217">
        <v>86400</v>
      </c>
      <c r="M217"/>
      <c r="N217" t="s">
        <v>38</v>
      </c>
      <c r="O217" t="s">
        <v>38</v>
      </c>
      <c r="P217" t="s">
        <v>53</v>
      </c>
      <c r="Q217" t="s">
        <v>38</v>
      </c>
      <c r="R217" t="s">
        <v>38</v>
      </c>
      <c r="S217" t="s">
        <v>42</v>
      </c>
      <c r="T217" t="s">
        <v>42</v>
      </c>
      <c r="U217" t="s">
        <v>415</v>
      </c>
      <c r="V217" t="s">
        <v>77</v>
      </c>
      <c r="W217" t="s">
        <v>415</v>
      </c>
      <c r="X217" t="s">
        <v>45</v>
      </c>
      <c r="Y217" t="s">
        <v>419</v>
      </c>
      <c r="Z217" t="s">
        <v>47</v>
      </c>
      <c r="AA217"/>
      <c r="AB217"/>
      <c r="AC217"/>
      <c r="AD217"/>
    </row>
    <row r="218" spans="1:30">
      <c r="A218">
        <v>3110100214</v>
      </c>
      <c r="B218" t="s">
        <v>30</v>
      </c>
      <c r="C218" t="s">
        <v>61</v>
      </c>
      <c r="D218" t="s">
        <v>71</v>
      </c>
      <c r="E218" t="s">
        <v>112</v>
      </c>
      <c r="F218" t="s">
        <v>166</v>
      </c>
      <c r="G218" t="s">
        <v>167</v>
      </c>
      <c r="H218" t="s">
        <v>35</v>
      </c>
      <c r="I218" t="s">
        <v>168</v>
      </c>
      <c r="J218" t="s">
        <v>248</v>
      </c>
      <c r="K218" t="str">
        <f>"L19170925067"</f>
        <v>0</v>
      </c>
      <c r="L218">
        <v>65000</v>
      </c>
      <c r="M218"/>
      <c r="N218" t="s">
        <v>38</v>
      </c>
      <c r="O218" t="s">
        <v>38</v>
      </c>
      <c r="P218" t="s">
        <v>53</v>
      </c>
      <c r="Q218" t="s">
        <v>38</v>
      </c>
      <c r="R218" t="s">
        <v>38</v>
      </c>
      <c r="S218" t="s">
        <v>42</v>
      </c>
      <c r="T218" t="s">
        <v>42</v>
      </c>
      <c r="U218" t="s">
        <v>415</v>
      </c>
      <c r="V218" t="s">
        <v>77</v>
      </c>
      <c r="W218" t="s">
        <v>415</v>
      </c>
      <c r="X218" t="s">
        <v>45</v>
      </c>
      <c r="Y218" t="s">
        <v>419</v>
      </c>
      <c r="Z218" t="s">
        <v>47</v>
      </c>
      <c r="AA218"/>
      <c r="AB218"/>
      <c r="AC218"/>
      <c r="AD218"/>
    </row>
    <row r="219" spans="1:30">
      <c r="A219">
        <v>3110100213</v>
      </c>
      <c r="B219" t="s">
        <v>30</v>
      </c>
      <c r="C219" t="s">
        <v>61</v>
      </c>
      <c r="D219" t="s">
        <v>71</v>
      </c>
      <c r="E219" t="s">
        <v>112</v>
      </c>
      <c r="F219" t="s">
        <v>166</v>
      </c>
      <c r="G219" t="s">
        <v>247</v>
      </c>
      <c r="H219" t="s">
        <v>50</v>
      </c>
      <c r="I219" t="s">
        <v>427</v>
      </c>
      <c r="J219" t="s">
        <v>428</v>
      </c>
      <c r="K219" t="str">
        <f>"6000015099"</f>
        <v>0</v>
      </c>
      <c r="L219">
        <v>36900</v>
      </c>
      <c r="M219"/>
      <c r="N219" t="s">
        <v>38</v>
      </c>
      <c r="O219" t="s">
        <v>38</v>
      </c>
      <c r="P219" t="s">
        <v>53</v>
      </c>
      <c r="Q219" t="s">
        <v>38</v>
      </c>
      <c r="R219" t="s">
        <v>38</v>
      </c>
      <c r="S219" t="s">
        <v>42</v>
      </c>
      <c r="T219" t="s">
        <v>42</v>
      </c>
      <c r="U219" t="s">
        <v>415</v>
      </c>
      <c r="V219" t="s">
        <v>77</v>
      </c>
      <c r="W219" t="s">
        <v>415</v>
      </c>
      <c r="X219" t="s">
        <v>45</v>
      </c>
      <c r="Y219" t="s">
        <v>419</v>
      </c>
      <c r="Z219" t="s">
        <v>47</v>
      </c>
      <c r="AA219"/>
      <c r="AB219"/>
      <c r="AC219"/>
      <c r="AD219"/>
    </row>
    <row r="220" spans="1:30">
      <c r="A220">
        <v>3110100215</v>
      </c>
      <c r="B220" t="s">
        <v>30</v>
      </c>
      <c r="C220" t="s">
        <v>61</v>
      </c>
      <c r="D220" t="s">
        <v>71</v>
      </c>
      <c r="E220" t="s">
        <v>79</v>
      </c>
      <c r="F220" t="s">
        <v>64</v>
      </c>
      <c r="G220" t="s">
        <v>99</v>
      </c>
      <c r="H220" t="s">
        <v>50</v>
      </c>
      <c r="I220" t="s">
        <v>375</v>
      </c>
      <c r="J220" t="s">
        <v>315</v>
      </c>
      <c r="K220" t="str">
        <f>"na"</f>
        <v>0</v>
      </c>
      <c r="L220">
        <v>36000</v>
      </c>
      <c r="M220"/>
      <c r="N220" t="s">
        <v>38</v>
      </c>
      <c r="O220" t="s">
        <v>38</v>
      </c>
      <c r="P220" t="s">
        <v>53</v>
      </c>
      <c r="Q220" t="s">
        <v>38</v>
      </c>
      <c r="R220" t="s">
        <v>38</v>
      </c>
      <c r="S220" t="s">
        <v>42</v>
      </c>
      <c r="T220" t="s">
        <v>42</v>
      </c>
      <c r="U220" t="s">
        <v>415</v>
      </c>
      <c r="V220" t="s">
        <v>77</v>
      </c>
      <c r="W220" t="s">
        <v>415</v>
      </c>
      <c r="X220" t="s">
        <v>45</v>
      </c>
      <c r="Y220" t="s">
        <v>419</v>
      </c>
      <c r="Z220" t="s">
        <v>47</v>
      </c>
      <c r="AA220"/>
      <c r="AB220"/>
      <c r="AC220"/>
      <c r="AD220"/>
    </row>
    <row r="221" spans="1:30">
      <c r="A221">
        <v>3110100216</v>
      </c>
      <c r="B221" t="s">
        <v>30</v>
      </c>
      <c r="C221" t="s">
        <v>61</v>
      </c>
      <c r="D221" t="s">
        <v>71</v>
      </c>
      <c r="E221" t="s">
        <v>79</v>
      </c>
      <c r="F221" t="s">
        <v>108</v>
      </c>
      <c r="G221" t="s">
        <v>109</v>
      </c>
      <c r="H221" t="s">
        <v>50</v>
      </c>
      <c r="I221" t="s">
        <v>110</v>
      </c>
      <c r="J221" t="s">
        <v>400</v>
      </c>
      <c r="K221" t="str">
        <f>"na"</f>
        <v>0</v>
      </c>
      <c r="L221">
        <v>12500</v>
      </c>
      <c r="M221"/>
      <c r="N221" t="s">
        <v>38</v>
      </c>
      <c r="O221" t="s">
        <v>38</v>
      </c>
      <c r="P221" t="s">
        <v>53</v>
      </c>
      <c r="Q221" t="s">
        <v>38</v>
      </c>
      <c r="R221" t="s">
        <v>38</v>
      </c>
      <c r="S221" t="s">
        <v>42</v>
      </c>
      <c r="T221" t="s">
        <v>42</v>
      </c>
      <c r="U221" t="s">
        <v>415</v>
      </c>
      <c r="V221" t="s">
        <v>77</v>
      </c>
      <c r="W221" t="s">
        <v>415</v>
      </c>
      <c r="X221" t="s">
        <v>45</v>
      </c>
      <c r="Y221" t="s">
        <v>419</v>
      </c>
      <c r="Z221" t="s">
        <v>47</v>
      </c>
      <c r="AA221"/>
      <c r="AB221"/>
      <c r="AC221"/>
      <c r="AD221"/>
    </row>
    <row r="222" spans="1:30">
      <c r="A222">
        <v>3110100217</v>
      </c>
      <c r="B222" t="s">
        <v>30</v>
      </c>
      <c r="C222" t="s">
        <v>61</v>
      </c>
      <c r="D222" t="s">
        <v>71</v>
      </c>
      <c r="E222" t="s">
        <v>79</v>
      </c>
      <c r="F222" t="s">
        <v>64</v>
      </c>
      <c r="G222" t="s">
        <v>99</v>
      </c>
      <c r="H222" t="s">
        <v>50</v>
      </c>
      <c r="I222" t="s">
        <v>408</v>
      </c>
      <c r="J222" t="s">
        <v>409</v>
      </c>
      <c r="K222" t="str">
        <f>"na"</f>
        <v>0</v>
      </c>
      <c r="L222">
        <v>86400</v>
      </c>
      <c r="M222"/>
      <c r="N222" t="s">
        <v>38</v>
      </c>
      <c r="O222" t="s">
        <v>38</v>
      </c>
      <c r="P222" t="s">
        <v>53</v>
      </c>
      <c r="Q222" t="s">
        <v>38</v>
      </c>
      <c r="R222" t="s">
        <v>38</v>
      </c>
      <c r="S222" t="s">
        <v>42</v>
      </c>
      <c r="T222" t="s">
        <v>42</v>
      </c>
      <c r="U222" t="s">
        <v>415</v>
      </c>
      <c r="V222" t="s">
        <v>77</v>
      </c>
      <c r="W222" t="s">
        <v>415</v>
      </c>
      <c r="X222" t="s">
        <v>45</v>
      </c>
      <c r="Y222" t="s">
        <v>419</v>
      </c>
      <c r="Z222" t="s">
        <v>47</v>
      </c>
      <c r="AA222"/>
      <c r="AB222"/>
      <c r="AC222"/>
      <c r="AD222"/>
    </row>
    <row r="223" spans="1:30">
      <c r="A223">
        <v>3110100218</v>
      </c>
      <c r="B223" t="s">
        <v>30</v>
      </c>
      <c r="C223" t="s">
        <v>61</v>
      </c>
      <c r="D223" t="s">
        <v>71</v>
      </c>
      <c r="E223" t="s">
        <v>79</v>
      </c>
      <c r="F223" t="s">
        <v>64</v>
      </c>
      <c r="G223" t="s">
        <v>99</v>
      </c>
      <c r="H223" t="s">
        <v>50</v>
      </c>
      <c r="I223" t="s">
        <v>102</v>
      </c>
      <c r="J223" t="s">
        <v>374</v>
      </c>
      <c r="K223" t="str">
        <f>"na"</f>
        <v>0</v>
      </c>
      <c r="L223">
        <v>77650</v>
      </c>
      <c r="M223"/>
      <c r="N223" t="s">
        <v>38</v>
      </c>
      <c r="O223" t="s">
        <v>38</v>
      </c>
      <c r="P223" t="s">
        <v>53</v>
      </c>
      <c r="Q223" t="s">
        <v>38</v>
      </c>
      <c r="R223" t="s">
        <v>38</v>
      </c>
      <c r="S223" t="s">
        <v>42</v>
      </c>
      <c r="T223" t="s">
        <v>42</v>
      </c>
      <c r="U223" t="s">
        <v>415</v>
      </c>
      <c r="V223" t="s">
        <v>77</v>
      </c>
      <c r="W223" t="s">
        <v>415</v>
      </c>
      <c r="X223" t="s">
        <v>45</v>
      </c>
      <c r="Y223" t="s">
        <v>419</v>
      </c>
      <c r="Z223" t="s">
        <v>47</v>
      </c>
      <c r="AA223"/>
      <c r="AB223"/>
      <c r="AC223"/>
      <c r="AD223"/>
    </row>
    <row r="224" spans="1:30">
      <c r="A224">
        <v>6110220006</v>
      </c>
      <c r="B224" t="s">
        <v>30</v>
      </c>
      <c r="C224" t="s">
        <v>429</v>
      </c>
      <c r="D224" t="s">
        <v>430</v>
      </c>
      <c r="E224" t="s">
        <v>48</v>
      </c>
      <c r="F224" t="s">
        <v>48</v>
      </c>
      <c r="G224" t="s">
        <v>431</v>
      </c>
      <c r="H224" t="s">
        <v>35</v>
      </c>
      <c r="I224" t="s">
        <v>432</v>
      </c>
      <c r="J224" t="s">
        <v>433</v>
      </c>
      <c r="K224" t="str">
        <f>"00599"</f>
        <v>0</v>
      </c>
      <c r="L224">
        <v>327000</v>
      </c>
      <c r="M224"/>
      <c r="N224" t="s">
        <v>38</v>
      </c>
      <c r="O224" t="s">
        <v>38</v>
      </c>
      <c r="P224" t="s">
        <v>39</v>
      </c>
      <c r="Q224" t="s">
        <v>434</v>
      </c>
      <c r="R224" t="s">
        <v>435</v>
      </c>
      <c r="S224" t="s">
        <v>42</v>
      </c>
      <c r="T224" t="s">
        <v>42</v>
      </c>
      <c r="U224" t="s">
        <v>436</v>
      </c>
      <c r="V224" t="s">
        <v>44</v>
      </c>
      <c r="W224" t="s">
        <v>436</v>
      </c>
      <c r="X224" t="s">
        <v>45</v>
      </c>
      <c r="Y224" t="s">
        <v>437</v>
      </c>
      <c r="Z224" t="s">
        <v>47</v>
      </c>
      <c r="AA224"/>
      <c r="AB224"/>
      <c r="AC224"/>
      <c r="AD224"/>
    </row>
    <row r="225" spans="1:30">
      <c r="A225">
        <v>5110130005</v>
      </c>
      <c r="B225" t="s">
        <v>30</v>
      </c>
      <c r="C225" t="s">
        <v>230</v>
      </c>
      <c r="D225" t="s">
        <v>252</v>
      </c>
      <c r="E225" t="s">
        <v>48</v>
      </c>
      <c r="F225" t="s">
        <v>48</v>
      </c>
      <c r="G225" t="s">
        <v>431</v>
      </c>
      <c r="H225" t="s">
        <v>35</v>
      </c>
      <c r="I225" t="s">
        <v>432</v>
      </c>
      <c r="J225" t="s">
        <v>433</v>
      </c>
      <c r="K225" t="str">
        <f>"00525"</f>
        <v>0</v>
      </c>
      <c r="L225">
        <v>327000</v>
      </c>
      <c r="M225"/>
      <c r="N225" t="s">
        <v>38</v>
      </c>
      <c r="O225" t="s">
        <v>38</v>
      </c>
      <c r="P225" t="s">
        <v>39</v>
      </c>
      <c r="Q225" t="s">
        <v>434</v>
      </c>
      <c r="R225" t="s">
        <v>435</v>
      </c>
      <c r="S225" t="s">
        <v>42</v>
      </c>
      <c r="T225" t="s">
        <v>42</v>
      </c>
      <c r="U225" t="s">
        <v>436</v>
      </c>
      <c r="V225" t="s">
        <v>44</v>
      </c>
      <c r="W225" t="s">
        <v>436</v>
      </c>
      <c r="X225" t="s">
        <v>45</v>
      </c>
      <c r="Y225" t="s">
        <v>437</v>
      </c>
      <c r="Z225" t="s">
        <v>47</v>
      </c>
      <c r="AA225"/>
      <c r="AB225"/>
      <c r="AC225"/>
      <c r="AD225"/>
    </row>
    <row r="226" spans="1:30">
      <c r="A226">
        <v>5110210001</v>
      </c>
      <c r="B226" t="s">
        <v>30</v>
      </c>
      <c r="C226" t="s">
        <v>230</v>
      </c>
      <c r="D226" t="s">
        <v>438</v>
      </c>
      <c r="E226" t="s">
        <v>210</v>
      </c>
      <c r="F226" t="s">
        <v>64</v>
      </c>
      <c r="G226" t="s">
        <v>99</v>
      </c>
      <c r="H226" t="s">
        <v>50</v>
      </c>
      <c r="I226" t="s">
        <v>439</v>
      </c>
      <c r="J226" t="s">
        <v>440</v>
      </c>
      <c r="K226" t="str">
        <f>"B213050332DS"</f>
        <v>0</v>
      </c>
      <c r="L226">
        <v>36000</v>
      </c>
      <c r="M226"/>
      <c r="N226" t="s">
        <v>38</v>
      </c>
      <c r="O226" t="s">
        <v>38</v>
      </c>
      <c r="P226" t="s">
        <v>53</v>
      </c>
      <c r="Q226" t="s">
        <v>38</v>
      </c>
      <c r="R226" t="s">
        <v>38</v>
      </c>
      <c r="S226" t="s">
        <v>42</v>
      </c>
      <c r="T226" t="s">
        <v>42</v>
      </c>
      <c r="U226" t="s">
        <v>441</v>
      </c>
      <c r="V226" t="s">
        <v>44</v>
      </c>
      <c r="W226" t="s">
        <v>441</v>
      </c>
      <c r="X226" t="s">
        <v>45</v>
      </c>
      <c r="Y226" t="s">
        <v>442</v>
      </c>
      <c r="Z226" t="s">
        <v>47</v>
      </c>
      <c r="AA226"/>
      <c r="AB226"/>
      <c r="AC226"/>
      <c r="AD226"/>
    </row>
    <row r="227" spans="1:30">
      <c r="A227">
        <v>2110060304</v>
      </c>
      <c r="B227" t="s">
        <v>30</v>
      </c>
      <c r="C227" t="s">
        <v>31</v>
      </c>
      <c r="D227" t="s">
        <v>32</v>
      </c>
      <c r="E227" t="s">
        <v>55</v>
      </c>
      <c r="F227" t="s">
        <v>166</v>
      </c>
      <c r="G227" t="s">
        <v>167</v>
      </c>
      <c r="H227" t="s">
        <v>35</v>
      </c>
      <c r="I227" t="s">
        <v>432</v>
      </c>
      <c r="J227" t="s">
        <v>443</v>
      </c>
      <c r="K227" t="str">
        <f>"0105056"</f>
        <v>0</v>
      </c>
      <c r="L227">
        <v>65000</v>
      </c>
      <c r="M227"/>
      <c r="N227" t="s">
        <v>38</v>
      </c>
      <c r="O227" t="s">
        <v>38</v>
      </c>
      <c r="P227" t="s">
        <v>53</v>
      </c>
      <c r="Q227" t="s">
        <v>38</v>
      </c>
      <c r="R227" t="s">
        <v>38</v>
      </c>
      <c r="S227" t="s">
        <v>42</v>
      </c>
      <c r="T227" t="s">
        <v>42</v>
      </c>
      <c r="U227" t="s">
        <v>441</v>
      </c>
      <c r="V227" t="s">
        <v>395</v>
      </c>
      <c r="W227" t="s">
        <v>441</v>
      </c>
      <c r="X227" t="s">
        <v>45</v>
      </c>
      <c r="Y227" t="s">
        <v>444</v>
      </c>
      <c r="Z227" t="s">
        <v>47</v>
      </c>
      <c r="AA227"/>
      <c r="AB227"/>
      <c r="AC227"/>
      <c r="AD227" t="s">
        <v>445</v>
      </c>
    </row>
    <row r="228" spans="1:30">
      <c r="A228">
        <v>2110060315</v>
      </c>
      <c r="B228" t="s">
        <v>30</v>
      </c>
      <c r="C228" t="s">
        <v>31</v>
      </c>
      <c r="D228" t="s">
        <v>32</v>
      </c>
      <c r="E228" t="s">
        <v>446</v>
      </c>
      <c r="F228" t="s">
        <v>401</v>
      </c>
      <c r="G228" t="s">
        <v>402</v>
      </c>
      <c r="H228" t="s">
        <v>50</v>
      </c>
      <c r="I228" t="s">
        <v>447</v>
      </c>
      <c r="J228" t="s">
        <v>448</v>
      </c>
      <c r="K228" t="str">
        <f>"1501-4126-25"</f>
        <v>0</v>
      </c>
      <c r="L228">
        <v>169935</v>
      </c>
      <c r="M228"/>
      <c r="N228" t="s">
        <v>38</v>
      </c>
      <c r="O228" t="s">
        <v>38</v>
      </c>
      <c r="P228" t="s">
        <v>53</v>
      </c>
      <c r="Q228" t="s">
        <v>38</v>
      </c>
      <c r="R228" t="s">
        <v>38</v>
      </c>
      <c r="S228" t="s">
        <v>42</v>
      </c>
      <c r="T228" t="s">
        <v>42</v>
      </c>
      <c r="U228" t="s">
        <v>441</v>
      </c>
      <c r="V228" t="s">
        <v>44</v>
      </c>
      <c r="W228" t="s">
        <v>441</v>
      </c>
      <c r="X228" t="s">
        <v>45</v>
      </c>
      <c r="Y228" t="s">
        <v>449</v>
      </c>
      <c r="Z228" t="s">
        <v>47</v>
      </c>
      <c r="AA228"/>
      <c r="AB228"/>
      <c r="AC228"/>
      <c r="AD228"/>
    </row>
    <row r="229" spans="1:30">
      <c r="A229">
        <v>2110060348</v>
      </c>
      <c r="B229" t="s">
        <v>30</v>
      </c>
      <c r="C229" t="s">
        <v>31</v>
      </c>
      <c r="D229" t="s">
        <v>32</v>
      </c>
      <c r="E229" t="s">
        <v>359</v>
      </c>
      <c r="F229" t="s">
        <v>56</v>
      </c>
      <c r="G229" t="s">
        <v>284</v>
      </c>
      <c r="H229" t="s">
        <v>50</v>
      </c>
      <c r="I229" t="s">
        <v>450</v>
      </c>
      <c r="J229" t="s">
        <v>315</v>
      </c>
      <c r="K229" t="str">
        <f>"na"</f>
        <v>0</v>
      </c>
      <c r="L229">
        <v>350000</v>
      </c>
      <c r="M229"/>
      <c r="N229" t="s">
        <v>38</v>
      </c>
      <c r="O229" t="s">
        <v>38</v>
      </c>
      <c r="P229" t="s">
        <v>53</v>
      </c>
      <c r="Q229" t="s">
        <v>38</v>
      </c>
      <c r="R229" t="s">
        <v>38</v>
      </c>
      <c r="S229" t="s">
        <v>42</v>
      </c>
      <c r="T229" t="s">
        <v>42</v>
      </c>
      <c r="U229" t="s">
        <v>441</v>
      </c>
      <c r="V229" t="s">
        <v>395</v>
      </c>
      <c r="W229" t="s">
        <v>441</v>
      </c>
      <c r="X229" t="s">
        <v>45</v>
      </c>
      <c r="Y229" t="s">
        <v>451</v>
      </c>
      <c r="Z229" t="s">
        <v>47</v>
      </c>
      <c r="AA229"/>
      <c r="AB229"/>
      <c r="AC229"/>
      <c r="AD229" t="s">
        <v>452</v>
      </c>
    </row>
    <row r="230" spans="1:30">
      <c r="A230">
        <v>2110060419</v>
      </c>
      <c r="B230" t="s">
        <v>30</v>
      </c>
      <c r="C230" t="s">
        <v>31</v>
      </c>
      <c r="D230" t="s">
        <v>32</v>
      </c>
      <c r="E230" t="s">
        <v>112</v>
      </c>
      <c r="F230" t="s">
        <v>48</v>
      </c>
      <c r="G230" t="s">
        <v>453</v>
      </c>
      <c r="H230" t="s">
        <v>50</v>
      </c>
      <c r="I230" t="s">
        <v>454</v>
      </c>
      <c r="J230" t="s">
        <v>59</v>
      </c>
      <c r="K230" t="str">
        <f>"na"</f>
        <v>0</v>
      </c>
      <c r="L230">
        <v>27991</v>
      </c>
      <c r="M230"/>
      <c r="N230" t="s">
        <v>38</v>
      </c>
      <c r="O230" t="s">
        <v>38</v>
      </c>
      <c r="P230" t="s">
        <v>53</v>
      </c>
      <c r="Q230" t="s">
        <v>38</v>
      </c>
      <c r="R230" t="s">
        <v>38</v>
      </c>
      <c r="S230" t="s">
        <v>42</v>
      </c>
      <c r="T230" t="s">
        <v>42</v>
      </c>
      <c r="U230" t="s">
        <v>441</v>
      </c>
      <c r="V230" t="s">
        <v>395</v>
      </c>
      <c r="W230" t="s">
        <v>441</v>
      </c>
      <c r="X230" t="s">
        <v>45</v>
      </c>
      <c r="Y230" t="s">
        <v>455</v>
      </c>
      <c r="Z230" t="s">
        <v>47</v>
      </c>
      <c r="AA230"/>
      <c r="AB230"/>
      <c r="AC230"/>
      <c r="AD230" t="s">
        <v>456</v>
      </c>
    </row>
    <row r="231" spans="1:30">
      <c r="A231">
        <v>2110060423</v>
      </c>
      <c r="B231" t="s">
        <v>30</v>
      </c>
      <c r="C231" t="s">
        <v>31</v>
      </c>
      <c r="D231" t="s">
        <v>32</v>
      </c>
      <c r="E231" t="s">
        <v>182</v>
      </c>
      <c r="F231" t="s">
        <v>56</v>
      </c>
      <c r="G231" t="s">
        <v>457</v>
      </c>
      <c r="H231" t="s">
        <v>50</v>
      </c>
      <c r="I231" t="s">
        <v>458</v>
      </c>
      <c r="J231" t="s">
        <v>459</v>
      </c>
      <c r="K231" t="str">
        <f>"4889122"</f>
        <v>0</v>
      </c>
      <c r="L231">
        <v>29500</v>
      </c>
      <c r="M231"/>
      <c r="N231" t="s">
        <v>38</v>
      </c>
      <c r="O231" t="s">
        <v>38</v>
      </c>
      <c r="P231" t="s">
        <v>53</v>
      </c>
      <c r="Q231" t="s">
        <v>38</v>
      </c>
      <c r="R231" t="s">
        <v>38</v>
      </c>
      <c r="S231" t="s">
        <v>42</v>
      </c>
      <c r="T231" t="s">
        <v>42</v>
      </c>
      <c r="U231" t="s">
        <v>460</v>
      </c>
      <c r="V231" t="s">
        <v>44</v>
      </c>
      <c r="W231" t="s">
        <v>460</v>
      </c>
      <c r="X231" t="s">
        <v>45</v>
      </c>
      <c r="Y231" t="s">
        <v>460</v>
      </c>
      <c r="Z231" t="s">
        <v>47</v>
      </c>
      <c r="AA231"/>
      <c r="AB231"/>
      <c r="AC231"/>
      <c r="AD231"/>
    </row>
    <row r="232" spans="1:30">
      <c r="A232">
        <v>2110060258</v>
      </c>
      <c r="B232" t="s">
        <v>30</v>
      </c>
      <c r="C232" t="s">
        <v>31</v>
      </c>
      <c r="D232" t="s">
        <v>32</v>
      </c>
      <c r="E232" t="s">
        <v>93</v>
      </c>
      <c r="F232" t="s">
        <v>246</v>
      </c>
      <c r="G232" t="s">
        <v>247</v>
      </c>
      <c r="H232" t="s">
        <v>50</v>
      </c>
      <c r="I232" t="s">
        <v>461</v>
      </c>
      <c r="J232" t="s">
        <v>462</v>
      </c>
      <c r="K232" t="str">
        <f>"MBB2200832"</f>
        <v>0</v>
      </c>
      <c r="L232">
        <v>73500</v>
      </c>
      <c r="M232"/>
      <c r="N232" t="s">
        <v>38</v>
      </c>
      <c r="O232" t="s">
        <v>38</v>
      </c>
      <c r="P232" t="s">
        <v>53</v>
      </c>
      <c r="Q232" t="s">
        <v>38</v>
      </c>
      <c r="R232" t="s">
        <v>38</v>
      </c>
      <c r="S232" t="s">
        <v>42</v>
      </c>
      <c r="T232" t="s">
        <v>42</v>
      </c>
      <c r="U232" t="s">
        <v>463</v>
      </c>
      <c r="V232" t="s">
        <v>395</v>
      </c>
      <c r="W232" t="s">
        <v>463</v>
      </c>
      <c r="X232" t="s">
        <v>45</v>
      </c>
      <c r="Y232" t="s">
        <v>234</v>
      </c>
      <c r="Z232" t="s">
        <v>47</v>
      </c>
      <c r="AA232"/>
      <c r="AB232"/>
      <c r="AC232"/>
      <c r="AD232" t="s">
        <v>456</v>
      </c>
    </row>
    <row r="233" spans="1:30">
      <c r="A233">
        <v>2110060259</v>
      </c>
      <c r="B233" t="s">
        <v>30</v>
      </c>
      <c r="C233" t="s">
        <v>31</v>
      </c>
      <c r="D233" t="s">
        <v>32</v>
      </c>
      <c r="E233" t="s">
        <v>93</v>
      </c>
      <c r="F233" t="s">
        <v>246</v>
      </c>
      <c r="G233" t="s">
        <v>247</v>
      </c>
      <c r="H233" t="s">
        <v>50</v>
      </c>
      <c r="I233" t="s">
        <v>461</v>
      </c>
      <c r="J233" t="s">
        <v>462</v>
      </c>
      <c r="K233" t="str">
        <f>"MBB2200802"</f>
        <v>0</v>
      </c>
      <c r="L233">
        <v>73500</v>
      </c>
      <c r="M233"/>
      <c r="N233" t="s">
        <v>38</v>
      </c>
      <c r="O233" t="s">
        <v>38</v>
      </c>
      <c r="P233" t="s">
        <v>53</v>
      </c>
      <c r="Q233" t="s">
        <v>38</v>
      </c>
      <c r="R233" t="s">
        <v>38</v>
      </c>
      <c r="S233" t="s">
        <v>42</v>
      </c>
      <c r="T233" t="s">
        <v>42</v>
      </c>
      <c r="U233" t="s">
        <v>463</v>
      </c>
      <c r="V233" t="s">
        <v>395</v>
      </c>
      <c r="W233" t="s">
        <v>463</v>
      </c>
      <c r="X233" t="s">
        <v>45</v>
      </c>
      <c r="Y233" t="s">
        <v>234</v>
      </c>
      <c r="Z233" t="s">
        <v>47</v>
      </c>
      <c r="AA233"/>
      <c r="AB233"/>
      <c r="AC233"/>
      <c r="AD233" t="s">
        <v>456</v>
      </c>
    </row>
    <row r="234" spans="1:30">
      <c r="A234">
        <v>2110060309</v>
      </c>
      <c r="B234" t="s">
        <v>30</v>
      </c>
      <c r="C234" t="s">
        <v>31</v>
      </c>
      <c r="D234" t="s">
        <v>32</v>
      </c>
      <c r="E234" t="s">
        <v>446</v>
      </c>
      <c r="F234" t="s">
        <v>246</v>
      </c>
      <c r="G234" t="s">
        <v>247</v>
      </c>
      <c r="H234" t="s">
        <v>50</v>
      </c>
      <c r="I234" t="s">
        <v>461</v>
      </c>
      <c r="J234" t="s">
        <v>462</v>
      </c>
      <c r="K234" t="str">
        <f>"Mbb2200915"</f>
        <v>0</v>
      </c>
      <c r="L234">
        <v>73500</v>
      </c>
      <c r="M234"/>
      <c r="N234" t="s">
        <v>38</v>
      </c>
      <c r="O234" t="s">
        <v>38</v>
      </c>
      <c r="P234" t="s">
        <v>53</v>
      </c>
      <c r="Q234" t="s">
        <v>38</v>
      </c>
      <c r="R234" t="s">
        <v>38</v>
      </c>
      <c r="S234" t="s">
        <v>42</v>
      </c>
      <c r="T234" t="s">
        <v>42</v>
      </c>
      <c r="U234" t="s">
        <v>463</v>
      </c>
      <c r="V234" t="s">
        <v>395</v>
      </c>
      <c r="W234" t="s">
        <v>463</v>
      </c>
      <c r="X234" t="s">
        <v>45</v>
      </c>
      <c r="Y234" t="s">
        <v>449</v>
      </c>
      <c r="Z234" t="s">
        <v>47</v>
      </c>
      <c r="AA234"/>
      <c r="AB234"/>
      <c r="AC234"/>
      <c r="AD234" t="s">
        <v>397</v>
      </c>
    </row>
    <row r="235" spans="1:30">
      <c r="A235">
        <v>2110060318</v>
      </c>
      <c r="B235" t="s">
        <v>30</v>
      </c>
      <c r="C235" t="s">
        <v>31</v>
      </c>
      <c r="D235" t="s">
        <v>32</v>
      </c>
      <c r="E235" t="s">
        <v>446</v>
      </c>
      <c r="F235" t="s">
        <v>246</v>
      </c>
      <c r="G235" t="s">
        <v>247</v>
      </c>
      <c r="H235" t="s">
        <v>50</v>
      </c>
      <c r="I235" t="s">
        <v>461</v>
      </c>
      <c r="J235" t="s">
        <v>462</v>
      </c>
      <c r="K235" t="str">
        <f>"Mbb2200930"</f>
        <v>0</v>
      </c>
      <c r="L235">
        <v>73500</v>
      </c>
      <c r="M235"/>
      <c r="N235" t="s">
        <v>38</v>
      </c>
      <c r="O235" t="s">
        <v>38</v>
      </c>
      <c r="P235" t="s">
        <v>53</v>
      </c>
      <c r="Q235" t="s">
        <v>38</v>
      </c>
      <c r="R235" t="s">
        <v>38</v>
      </c>
      <c r="S235" t="s">
        <v>42</v>
      </c>
      <c r="T235" t="s">
        <v>42</v>
      </c>
      <c r="U235" t="s">
        <v>463</v>
      </c>
      <c r="V235" t="s">
        <v>395</v>
      </c>
      <c r="W235" t="s">
        <v>463</v>
      </c>
      <c r="X235" t="s">
        <v>45</v>
      </c>
      <c r="Y235" t="s">
        <v>449</v>
      </c>
      <c r="Z235" t="s">
        <v>47</v>
      </c>
      <c r="AA235"/>
      <c r="AB235"/>
      <c r="AC235"/>
      <c r="AD235" t="s">
        <v>397</v>
      </c>
    </row>
    <row r="236" spans="1:30">
      <c r="A236">
        <v>2110060319</v>
      </c>
      <c r="B236" t="s">
        <v>30</v>
      </c>
      <c r="C236" t="s">
        <v>31</v>
      </c>
      <c r="D236" t="s">
        <v>32</v>
      </c>
      <c r="E236" t="s">
        <v>446</v>
      </c>
      <c r="F236" t="s">
        <v>64</v>
      </c>
      <c r="G236" t="s">
        <v>99</v>
      </c>
      <c r="H236" t="s">
        <v>50</v>
      </c>
      <c r="I236" t="s">
        <v>408</v>
      </c>
      <c r="J236" t="s">
        <v>412</v>
      </c>
      <c r="K236" t="str">
        <f>"na"</f>
        <v>0</v>
      </c>
      <c r="L236">
        <v>30300</v>
      </c>
      <c r="M236"/>
      <c r="N236" t="s">
        <v>38</v>
      </c>
      <c r="O236" t="s">
        <v>38</v>
      </c>
      <c r="P236" t="s">
        <v>53</v>
      </c>
      <c r="Q236" t="s">
        <v>38</v>
      </c>
      <c r="R236" t="s">
        <v>38</v>
      </c>
      <c r="S236" t="s">
        <v>42</v>
      </c>
      <c r="T236" t="s">
        <v>42</v>
      </c>
      <c r="U236" t="s">
        <v>463</v>
      </c>
      <c r="V236" t="s">
        <v>395</v>
      </c>
      <c r="W236" t="s">
        <v>463</v>
      </c>
      <c r="X236" t="s">
        <v>45</v>
      </c>
      <c r="Y236" t="s">
        <v>449</v>
      </c>
      <c r="Z236" t="s">
        <v>47</v>
      </c>
      <c r="AA236"/>
      <c r="AB236"/>
      <c r="AC236"/>
      <c r="AD236" t="s">
        <v>397</v>
      </c>
    </row>
    <row r="237" spans="1:30">
      <c r="A237">
        <v>2110060320</v>
      </c>
      <c r="B237" t="s">
        <v>30</v>
      </c>
      <c r="C237" t="s">
        <v>31</v>
      </c>
      <c r="D237" t="s">
        <v>32</v>
      </c>
      <c r="E237" t="s">
        <v>446</v>
      </c>
      <c r="F237" t="s">
        <v>194</v>
      </c>
      <c r="G237" t="s">
        <v>195</v>
      </c>
      <c r="H237" t="s">
        <v>50</v>
      </c>
      <c r="I237" t="s">
        <v>196</v>
      </c>
      <c r="J237" t="s">
        <v>197</v>
      </c>
      <c r="K237" t="str">
        <f>"015912"</f>
        <v>0</v>
      </c>
      <c r="L237">
        <v>51700</v>
      </c>
      <c r="M237"/>
      <c r="N237" t="s">
        <v>38</v>
      </c>
      <c r="O237" t="s">
        <v>38</v>
      </c>
      <c r="P237" t="s">
        <v>53</v>
      </c>
      <c r="Q237" t="s">
        <v>38</v>
      </c>
      <c r="R237" t="s">
        <v>38</v>
      </c>
      <c r="S237" t="s">
        <v>42</v>
      </c>
      <c r="T237" t="s">
        <v>42</v>
      </c>
      <c r="U237" t="s">
        <v>463</v>
      </c>
      <c r="V237" t="s">
        <v>45</v>
      </c>
      <c r="W237" t="s">
        <v>463</v>
      </c>
      <c r="X237" t="s">
        <v>45</v>
      </c>
      <c r="Y237" t="s">
        <v>449</v>
      </c>
      <c r="Z237" t="s">
        <v>47</v>
      </c>
      <c r="AA237"/>
      <c r="AB237"/>
      <c r="AC237"/>
      <c r="AD237"/>
    </row>
    <row r="238" spans="1:30">
      <c r="A238">
        <v>2110060321</v>
      </c>
      <c r="B238" t="s">
        <v>30</v>
      </c>
      <c r="C238" t="s">
        <v>31</v>
      </c>
      <c r="D238" t="s">
        <v>32</v>
      </c>
      <c r="E238" t="s">
        <v>446</v>
      </c>
      <c r="F238" t="s">
        <v>246</v>
      </c>
      <c r="G238" t="s">
        <v>247</v>
      </c>
      <c r="H238" t="s">
        <v>50</v>
      </c>
      <c r="I238" t="s">
        <v>461</v>
      </c>
      <c r="J238" t="s">
        <v>462</v>
      </c>
      <c r="K238" t="str">
        <f>"Mbb2200854"</f>
        <v>0</v>
      </c>
      <c r="L238">
        <v>73500</v>
      </c>
      <c r="M238"/>
      <c r="N238" t="s">
        <v>38</v>
      </c>
      <c r="O238" t="s">
        <v>38</v>
      </c>
      <c r="P238" t="s">
        <v>53</v>
      </c>
      <c r="Q238" t="s">
        <v>38</v>
      </c>
      <c r="R238" t="s">
        <v>38</v>
      </c>
      <c r="S238" t="s">
        <v>42</v>
      </c>
      <c r="T238" t="s">
        <v>42</v>
      </c>
      <c r="U238" t="s">
        <v>463</v>
      </c>
      <c r="V238" t="s">
        <v>395</v>
      </c>
      <c r="W238" t="s">
        <v>463</v>
      </c>
      <c r="X238" t="s">
        <v>45</v>
      </c>
      <c r="Y238" t="s">
        <v>449</v>
      </c>
      <c r="Z238" t="s">
        <v>47</v>
      </c>
      <c r="AA238"/>
      <c r="AB238"/>
      <c r="AC238"/>
      <c r="AD238" t="s">
        <v>397</v>
      </c>
    </row>
    <row r="239" spans="1:30">
      <c r="A239">
        <v>2110060322</v>
      </c>
      <c r="B239" t="s">
        <v>30</v>
      </c>
      <c r="C239" t="s">
        <v>31</v>
      </c>
      <c r="D239" t="s">
        <v>32</v>
      </c>
      <c r="E239" t="s">
        <v>446</v>
      </c>
      <c r="F239" t="s">
        <v>246</v>
      </c>
      <c r="G239" t="s">
        <v>247</v>
      </c>
      <c r="H239" t="s">
        <v>50</v>
      </c>
      <c r="I239" t="s">
        <v>461</v>
      </c>
      <c r="J239" t="s">
        <v>462</v>
      </c>
      <c r="K239" t="str">
        <f>"Mbb2200913"</f>
        <v>0</v>
      </c>
      <c r="L239">
        <v>73500</v>
      </c>
      <c r="M239"/>
      <c r="N239" t="s">
        <v>38</v>
      </c>
      <c r="O239" t="s">
        <v>38</v>
      </c>
      <c r="P239" t="s">
        <v>53</v>
      </c>
      <c r="Q239" t="s">
        <v>38</v>
      </c>
      <c r="R239" t="s">
        <v>38</v>
      </c>
      <c r="S239" t="s">
        <v>42</v>
      </c>
      <c r="T239" t="s">
        <v>42</v>
      </c>
      <c r="U239" t="s">
        <v>463</v>
      </c>
      <c r="V239" t="s">
        <v>395</v>
      </c>
      <c r="W239" t="s">
        <v>463</v>
      </c>
      <c r="X239" t="s">
        <v>45</v>
      </c>
      <c r="Y239" t="s">
        <v>449</v>
      </c>
      <c r="Z239" t="s">
        <v>47</v>
      </c>
      <c r="AA239"/>
      <c r="AB239"/>
      <c r="AC239"/>
      <c r="AD239" t="s">
        <v>397</v>
      </c>
    </row>
    <row r="240" spans="1:30">
      <c r="A240">
        <v>2110060323</v>
      </c>
      <c r="B240" t="s">
        <v>30</v>
      </c>
      <c r="C240" t="s">
        <v>31</v>
      </c>
      <c r="D240" t="s">
        <v>32</v>
      </c>
      <c r="E240" t="s">
        <v>446</v>
      </c>
      <c r="F240" t="s">
        <v>246</v>
      </c>
      <c r="G240" t="s">
        <v>247</v>
      </c>
      <c r="H240" t="s">
        <v>50</v>
      </c>
      <c r="I240" t="s">
        <v>461</v>
      </c>
      <c r="J240" t="s">
        <v>462</v>
      </c>
      <c r="K240" t="str">
        <f>"Mbb2200830"</f>
        <v>0</v>
      </c>
      <c r="L240">
        <v>73500</v>
      </c>
      <c r="M240"/>
      <c r="N240" t="s">
        <v>38</v>
      </c>
      <c r="O240" t="s">
        <v>38</v>
      </c>
      <c r="P240" t="s">
        <v>53</v>
      </c>
      <c r="Q240" t="s">
        <v>38</v>
      </c>
      <c r="R240" t="s">
        <v>38</v>
      </c>
      <c r="S240" t="s">
        <v>42</v>
      </c>
      <c r="T240" t="s">
        <v>42</v>
      </c>
      <c r="U240" t="s">
        <v>463</v>
      </c>
      <c r="V240" t="s">
        <v>395</v>
      </c>
      <c r="W240" t="s">
        <v>463</v>
      </c>
      <c r="X240" t="s">
        <v>45</v>
      </c>
      <c r="Y240" t="s">
        <v>449</v>
      </c>
      <c r="Z240" t="s">
        <v>47</v>
      </c>
      <c r="AA240"/>
      <c r="AB240"/>
      <c r="AC240"/>
      <c r="AD240" t="s">
        <v>397</v>
      </c>
    </row>
    <row r="241" spans="1:30">
      <c r="A241">
        <v>2110060324</v>
      </c>
      <c r="B241" t="s">
        <v>30</v>
      </c>
      <c r="C241" t="s">
        <v>31</v>
      </c>
      <c r="D241" t="s">
        <v>32</v>
      </c>
      <c r="E241" t="s">
        <v>446</v>
      </c>
      <c r="F241" t="s">
        <v>246</v>
      </c>
      <c r="G241" t="s">
        <v>247</v>
      </c>
      <c r="H241" t="s">
        <v>50</v>
      </c>
      <c r="I241" t="s">
        <v>461</v>
      </c>
      <c r="J241" t="s">
        <v>462</v>
      </c>
      <c r="K241" t="str">
        <f>"Mbb2200834"</f>
        <v>0</v>
      </c>
      <c r="L241">
        <v>73500</v>
      </c>
      <c r="M241"/>
      <c r="N241" t="s">
        <v>38</v>
      </c>
      <c r="O241" t="s">
        <v>38</v>
      </c>
      <c r="P241" t="s">
        <v>53</v>
      </c>
      <c r="Q241" t="s">
        <v>38</v>
      </c>
      <c r="R241" t="s">
        <v>38</v>
      </c>
      <c r="S241" t="s">
        <v>42</v>
      </c>
      <c r="T241" t="s">
        <v>42</v>
      </c>
      <c r="U241" t="s">
        <v>463</v>
      </c>
      <c r="V241" t="s">
        <v>395</v>
      </c>
      <c r="W241" t="s">
        <v>463</v>
      </c>
      <c r="X241" t="s">
        <v>45</v>
      </c>
      <c r="Y241" t="s">
        <v>449</v>
      </c>
      <c r="Z241" t="s">
        <v>47</v>
      </c>
      <c r="AA241"/>
      <c r="AB241"/>
      <c r="AC241"/>
      <c r="AD241" t="s">
        <v>397</v>
      </c>
    </row>
    <row r="242" spans="1:30">
      <c r="A242">
        <v>2110060325</v>
      </c>
      <c r="B242" t="s">
        <v>30</v>
      </c>
      <c r="C242" t="s">
        <v>31</v>
      </c>
      <c r="D242" t="s">
        <v>32</v>
      </c>
      <c r="E242" t="s">
        <v>446</v>
      </c>
      <c r="F242" t="s">
        <v>246</v>
      </c>
      <c r="G242" t="s">
        <v>247</v>
      </c>
      <c r="H242" t="s">
        <v>50</v>
      </c>
      <c r="I242" t="s">
        <v>461</v>
      </c>
      <c r="J242" t="s">
        <v>464</v>
      </c>
      <c r="K242" t="str">
        <f>"Mbb2200722"</f>
        <v>0</v>
      </c>
      <c r="L242">
        <v>73500</v>
      </c>
      <c r="M242"/>
      <c r="N242" t="s">
        <v>38</v>
      </c>
      <c r="O242" t="s">
        <v>38</v>
      </c>
      <c r="P242" t="s">
        <v>53</v>
      </c>
      <c r="Q242" t="s">
        <v>38</v>
      </c>
      <c r="R242" t="s">
        <v>38</v>
      </c>
      <c r="S242" t="s">
        <v>42</v>
      </c>
      <c r="T242" t="s">
        <v>42</v>
      </c>
      <c r="U242" t="s">
        <v>463</v>
      </c>
      <c r="V242" t="s">
        <v>395</v>
      </c>
      <c r="W242" t="s">
        <v>463</v>
      </c>
      <c r="X242" t="s">
        <v>45</v>
      </c>
      <c r="Y242" t="s">
        <v>449</v>
      </c>
      <c r="Z242" t="s">
        <v>47</v>
      </c>
      <c r="AA242"/>
      <c r="AB242"/>
      <c r="AC242"/>
      <c r="AD242" t="s">
        <v>397</v>
      </c>
    </row>
    <row r="243" spans="1:30">
      <c r="A243">
        <v>2110060326</v>
      </c>
      <c r="B243" t="s">
        <v>30</v>
      </c>
      <c r="C243" t="s">
        <v>31</v>
      </c>
      <c r="D243" t="s">
        <v>32</v>
      </c>
      <c r="E243" t="s">
        <v>465</v>
      </c>
      <c r="F243" t="s">
        <v>64</v>
      </c>
      <c r="G243" t="s">
        <v>99</v>
      </c>
      <c r="H243" t="s">
        <v>50</v>
      </c>
      <c r="I243" t="s">
        <v>466</v>
      </c>
      <c r="J243" t="s">
        <v>467</v>
      </c>
      <c r="K243" t="str">
        <f>"DM 210513446"</f>
        <v>0</v>
      </c>
      <c r="L243">
        <v>36000</v>
      </c>
      <c r="M243"/>
      <c r="N243" t="s">
        <v>38</v>
      </c>
      <c r="O243" t="s">
        <v>38</v>
      </c>
      <c r="P243" t="s">
        <v>53</v>
      </c>
      <c r="Q243" t="s">
        <v>38</v>
      </c>
      <c r="R243" t="s">
        <v>38</v>
      </c>
      <c r="S243" t="s">
        <v>42</v>
      </c>
      <c r="T243" t="s">
        <v>42</v>
      </c>
      <c r="U243" t="s">
        <v>463</v>
      </c>
      <c r="V243" t="s">
        <v>395</v>
      </c>
      <c r="W243" t="s">
        <v>463</v>
      </c>
      <c r="X243" t="s">
        <v>45</v>
      </c>
      <c r="Y243" t="s">
        <v>449</v>
      </c>
      <c r="Z243" t="s">
        <v>47</v>
      </c>
      <c r="AA243"/>
      <c r="AB243"/>
      <c r="AC243"/>
      <c r="AD243" t="s">
        <v>397</v>
      </c>
    </row>
    <row r="244" spans="1:30">
      <c r="A244">
        <v>2110060327</v>
      </c>
      <c r="B244" t="s">
        <v>30</v>
      </c>
      <c r="C244" t="s">
        <v>31</v>
      </c>
      <c r="D244" t="s">
        <v>32</v>
      </c>
      <c r="E244" t="s">
        <v>465</v>
      </c>
      <c r="F244" t="s">
        <v>64</v>
      </c>
      <c r="G244" t="s">
        <v>99</v>
      </c>
      <c r="H244" t="s">
        <v>50</v>
      </c>
      <c r="I244" t="s">
        <v>227</v>
      </c>
      <c r="J244" t="s">
        <v>297</v>
      </c>
      <c r="K244" t="str">
        <f>"210507761"</f>
        <v>0</v>
      </c>
      <c r="L244">
        <v>38047</v>
      </c>
      <c r="M244"/>
      <c r="N244" t="s">
        <v>38</v>
      </c>
      <c r="O244" t="s">
        <v>38</v>
      </c>
      <c r="P244" t="s">
        <v>53</v>
      </c>
      <c r="Q244" t="s">
        <v>38</v>
      </c>
      <c r="R244" t="s">
        <v>38</v>
      </c>
      <c r="S244" t="s">
        <v>42</v>
      </c>
      <c r="T244" t="s">
        <v>42</v>
      </c>
      <c r="U244" t="s">
        <v>463</v>
      </c>
      <c r="V244" t="s">
        <v>395</v>
      </c>
      <c r="W244" t="s">
        <v>463</v>
      </c>
      <c r="X244" t="s">
        <v>45</v>
      </c>
      <c r="Y244" t="s">
        <v>449</v>
      </c>
      <c r="Z244" t="s">
        <v>47</v>
      </c>
      <c r="AA244"/>
      <c r="AB244"/>
      <c r="AC244"/>
      <c r="AD244" t="s">
        <v>397</v>
      </c>
    </row>
    <row r="245" spans="1:30">
      <c r="A245">
        <v>2110060328</v>
      </c>
      <c r="B245" t="s">
        <v>30</v>
      </c>
      <c r="C245" t="s">
        <v>31</v>
      </c>
      <c r="D245" t="s">
        <v>32</v>
      </c>
      <c r="E245" t="s">
        <v>468</v>
      </c>
      <c r="F245" t="s">
        <v>64</v>
      </c>
      <c r="G245" t="s">
        <v>99</v>
      </c>
      <c r="H245" t="s">
        <v>50</v>
      </c>
      <c r="I245" t="s">
        <v>469</v>
      </c>
      <c r="J245" t="s">
        <v>470</v>
      </c>
      <c r="K245" t="str">
        <f>"06-28-210500240"</f>
        <v>0</v>
      </c>
      <c r="L245">
        <v>36000</v>
      </c>
      <c r="M245"/>
      <c r="N245" t="s">
        <v>38</v>
      </c>
      <c r="O245" t="s">
        <v>38</v>
      </c>
      <c r="P245" t="s">
        <v>53</v>
      </c>
      <c r="Q245" t="s">
        <v>38</v>
      </c>
      <c r="R245" t="s">
        <v>38</v>
      </c>
      <c r="S245" t="s">
        <v>42</v>
      </c>
      <c r="T245" t="s">
        <v>42</v>
      </c>
      <c r="U245" t="s">
        <v>463</v>
      </c>
      <c r="V245" t="s">
        <v>395</v>
      </c>
      <c r="W245" t="s">
        <v>463</v>
      </c>
      <c r="X245" t="s">
        <v>45</v>
      </c>
      <c r="Y245" t="s">
        <v>449</v>
      </c>
      <c r="Z245" t="s">
        <v>47</v>
      </c>
      <c r="AA245"/>
      <c r="AB245"/>
      <c r="AC245"/>
      <c r="AD245" t="s">
        <v>397</v>
      </c>
    </row>
    <row r="246" spans="1:30">
      <c r="A246">
        <v>2110060329</v>
      </c>
      <c r="B246" t="s">
        <v>30</v>
      </c>
      <c r="C246" t="s">
        <v>31</v>
      </c>
      <c r="D246" t="s">
        <v>32</v>
      </c>
      <c r="E246" t="s">
        <v>79</v>
      </c>
      <c r="F246" t="s">
        <v>108</v>
      </c>
      <c r="G246" t="s">
        <v>109</v>
      </c>
      <c r="H246" t="s">
        <v>50</v>
      </c>
      <c r="I246" t="s">
        <v>110</v>
      </c>
      <c r="J246" t="s">
        <v>400</v>
      </c>
      <c r="K246" t="str">
        <f>"333"</f>
        <v>0</v>
      </c>
      <c r="L246">
        <v>12500</v>
      </c>
      <c r="M246"/>
      <c r="N246" t="s">
        <v>38</v>
      </c>
      <c r="O246" t="s">
        <v>38</v>
      </c>
      <c r="P246" t="s">
        <v>53</v>
      </c>
      <c r="Q246" t="s">
        <v>38</v>
      </c>
      <c r="R246" t="s">
        <v>38</v>
      </c>
      <c r="S246" t="s">
        <v>42</v>
      </c>
      <c r="T246" t="s">
        <v>42</v>
      </c>
      <c r="U246" t="s">
        <v>463</v>
      </c>
      <c r="V246" t="s">
        <v>395</v>
      </c>
      <c r="W246" t="s">
        <v>463</v>
      </c>
      <c r="X246" t="s">
        <v>45</v>
      </c>
      <c r="Y246" t="s">
        <v>449</v>
      </c>
      <c r="Z246" t="s">
        <v>47</v>
      </c>
      <c r="AA246"/>
      <c r="AB246"/>
      <c r="AC246"/>
      <c r="AD246" t="s">
        <v>397</v>
      </c>
    </row>
    <row r="247" spans="1:30">
      <c r="A247">
        <v>2110060330</v>
      </c>
      <c r="B247" t="s">
        <v>30</v>
      </c>
      <c r="C247" t="s">
        <v>31</v>
      </c>
      <c r="D247" t="s">
        <v>32</v>
      </c>
      <c r="E247" t="s">
        <v>471</v>
      </c>
      <c r="F247" t="s">
        <v>64</v>
      </c>
      <c r="G247" t="s">
        <v>99</v>
      </c>
      <c r="H247" t="s">
        <v>50</v>
      </c>
      <c r="I247" t="s">
        <v>466</v>
      </c>
      <c r="J247" t="s">
        <v>467</v>
      </c>
      <c r="K247" t="str">
        <f>"DM210513246"</f>
        <v>0</v>
      </c>
      <c r="L247">
        <v>36000</v>
      </c>
      <c r="M247"/>
      <c r="N247" t="s">
        <v>38</v>
      </c>
      <c r="O247" t="s">
        <v>38</v>
      </c>
      <c r="P247" t="s">
        <v>53</v>
      </c>
      <c r="Q247" t="s">
        <v>38</v>
      </c>
      <c r="R247" t="s">
        <v>38</v>
      </c>
      <c r="S247" t="s">
        <v>42</v>
      </c>
      <c r="T247" t="s">
        <v>42</v>
      </c>
      <c r="U247" t="s">
        <v>463</v>
      </c>
      <c r="V247" t="s">
        <v>395</v>
      </c>
      <c r="W247" t="s">
        <v>463</v>
      </c>
      <c r="X247" t="s">
        <v>45</v>
      </c>
      <c r="Y247" t="s">
        <v>451</v>
      </c>
      <c r="Z247" t="s">
        <v>47</v>
      </c>
      <c r="AA247"/>
      <c r="AB247"/>
      <c r="AC247"/>
      <c r="AD247" t="s">
        <v>397</v>
      </c>
    </row>
    <row r="248" spans="1:30">
      <c r="A248">
        <v>2110060331</v>
      </c>
      <c r="B248" t="s">
        <v>30</v>
      </c>
      <c r="C248" t="s">
        <v>31</v>
      </c>
      <c r="D248" t="s">
        <v>32</v>
      </c>
      <c r="E248" t="s">
        <v>471</v>
      </c>
      <c r="F248" t="s">
        <v>64</v>
      </c>
      <c r="G248" t="s">
        <v>99</v>
      </c>
      <c r="H248" t="s">
        <v>50</v>
      </c>
      <c r="I248" t="s">
        <v>466</v>
      </c>
      <c r="J248" t="s">
        <v>467</v>
      </c>
      <c r="K248" t="str">
        <f>"DM210513253"</f>
        <v>0</v>
      </c>
      <c r="L248">
        <v>36000</v>
      </c>
      <c r="M248"/>
      <c r="N248" t="s">
        <v>38</v>
      </c>
      <c r="O248" t="s">
        <v>38</v>
      </c>
      <c r="P248" t="s">
        <v>53</v>
      </c>
      <c r="Q248" t="s">
        <v>38</v>
      </c>
      <c r="R248" t="s">
        <v>38</v>
      </c>
      <c r="S248" t="s">
        <v>42</v>
      </c>
      <c r="T248" t="s">
        <v>42</v>
      </c>
      <c r="U248" t="s">
        <v>463</v>
      </c>
      <c r="V248" t="s">
        <v>395</v>
      </c>
      <c r="W248" t="s">
        <v>463</v>
      </c>
      <c r="X248" t="s">
        <v>45</v>
      </c>
      <c r="Y248" t="s">
        <v>451</v>
      </c>
      <c r="Z248" t="s">
        <v>47</v>
      </c>
      <c r="AA248"/>
      <c r="AB248"/>
      <c r="AC248"/>
      <c r="AD248" t="s">
        <v>397</v>
      </c>
    </row>
    <row r="249" spans="1:30">
      <c r="A249">
        <v>2110060332</v>
      </c>
      <c r="B249" t="s">
        <v>30</v>
      </c>
      <c r="C249" t="s">
        <v>31</v>
      </c>
      <c r="D249" t="s">
        <v>32</v>
      </c>
      <c r="E249" t="s">
        <v>472</v>
      </c>
      <c r="F249" t="s">
        <v>64</v>
      </c>
      <c r="G249" t="s">
        <v>99</v>
      </c>
      <c r="H249" t="s">
        <v>50</v>
      </c>
      <c r="I249" t="s">
        <v>466</v>
      </c>
      <c r="J249" t="s">
        <v>467</v>
      </c>
      <c r="K249" t="str">
        <f>"DM210513379"</f>
        <v>0</v>
      </c>
      <c r="L249">
        <v>36000</v>
      </c>
      <c r="M249"/>
      <c r="N249" t="s">
        <v>38</v>
      </c>
      <c r="O249" t="s">
        <v>38</v>
      </c>
      <c r="P249" t="s">
        <v>53</v>
      </c>
      <c r="Q249" t="s">
        <v>38</v>
      </c>
      <c r="R249" t="s">
        <v>38</v>
      </c>
      <c r="S249" t="s">
        <v>42</v>
      </c>
      <c r="T249" t="s">
        <v>42</v>
      </c>
      <c r="U249" t="s">
        <v>463</v>
      </c>
      <c r="V249" t="s">
        <v>395</v>
      </c>
      <c r="W249" t="s">
        <v>463</v>
      </c>
      <c r="X249" t="s">
        <v>45</v>
      </c>
      <c r="Y249" t="s">
        <v>451</v>
      </c>
      <c r="Z249" t="s">
        <v>47</v>
      </c>
      <c r="AA249"/>
      <c r="AB249"/>
      <c r="AC249"/>
      <c r="AD249" t="s">
        <v>397</v>
      </c>
    </row>
    <row r="250" spans="1:30">
      <c r="A250">
        <v>2110060334</v>
      </c>
      <c r="B250" t="s">
        <v>30</v>
      </c>
      <c r="C250" t="s">
        <v>31</v>
      </c>
      <c r="D250" t="s">
        <v>32</v>
      </c>
      <c r="E250" t="s">
        <v>446</v>
      </c>
      <c r="F250" t="s">
        <v>194</v>
      </c>
      <c r="G250" t="s">
        <v>195</v>
      </c>
      <c r="H250" t="s">
        <v>50</v>
      </c>
      <c r="I250" t="s">
        <v>196</v>
      </c>
      <c r="J250" t="s">
        <v>59</v>
      </c>
      <c r="K250" t="str">
        <f>"015923"</f>
        <v>0</v>
      </c>
      <c r="L250">
        <v>51700</v>
      </c>
      <c r="M250"/>
      <c r="N250" t="s">
        <v>38</v>
      </c>
      <c r="O250" t="s">
        <v>38</v>
      </c>
      <c r="P250" t="s">
        <v>53</v>
      </c>
      <c r="Q250" t="s">
        <v>38</v>
      </c>
      <c r="R250" t="s">
        <v>38</v>
      </c>
      <c r="S250" t="s">
        <v>42</v>
      </c>
      <c r="T250" t="s">
        <v>42</v>
      </c>
      <c r="U250" t="s">
        <v>463</v>
      </c>
      <c r="V250" t="s">
        <v>395</v>
      </c>
      <c r="W250" t="s">
        <v>463</v>
      </c>
      <c r="X250" t="s">
        <v>45</v>
      </c>
      <c r="Y250" t="s">
        <v>451</v>
      </c>
      <c r="Z250" t="s">
        <v>47</v>
      </c>
      <c r="AA250"/>
      <c r="AB250"/>
      <c r="AC250"/>
      <c r="AD250" t="s">
        <v>397</v>
      </c>
    </row>
    <row r="251" spans="1:30">
      <c r="A251">
        <v>2110060335</v>
      </c>
      <c r="B251" t="s">
        <v>30</v>
      </c>
      <c r="C251" t="s">
        <v>31</v>
      </c>
      <c r="D251" t="s">
        <v>32</v>
      </c>
      <c r="E251" t="s">
        <v>446</v>
      </c>
      <c r="F251" t="s">
        <v>194</v>
      </c>
      <c r="G251" t="s">
        <v>195</v>
      </c>
      <c r="H251" t="s">
        <v>50</v>
      </c>
      <c r="I251" t="s">
        <v>196</v>
      </c>
      <c r="J251" t="s">
        <v>473</v>
      </c>
      <c r="K251" t="str">
        <f>"015919"</f>
        <v>0</v>
      </c>
      <c r="L251">
        <v>51700</v>
      </c>
      <c r="M251"/>
      <c r="N251" t="s">
        <v>38</v>
      </c>
      <c r="O251" t="s">
        <v>38</v>
      </c>
      <c r="P251" t="s">
        <v>53</v>
      </c>
      <c r="Q251" t="s">
        <v>38</v>
      </c>
      <c r="R251" t="s">
        <v>38</v>
      </c>
      <c r="S251" t="s">
        <v>42</v>
      </c>
      <c r="T251" t="s">
        <v>42</v>
      </c>
      <c r="U251" t="s">
        <v>463</v>
      </c>
      <c r="V251" t="s">
        <v>395</v>
      </c>
      <c r="W251" t="s">
        <v>463</v>
      </c>
      <c r="X251" t="s">
        <v>45</v>
      </c>
      <c r="Y251" t="s">
        <v>451</v>
      </c>
      <c r="Z251" t="s">
        <v>47</v>
      </c>
      <c r="AA251"/>
      <c r="AB251"/>
      <c r="AC251"/>
      <c r="AD251" t="s">
        <v>397</v>
      </c>
    </row>
    <row r="252" spans="1:30">
      <c r="A252">
        <v>2110060336</v>
      </c>
      <c r="B252" t="s">
        <v>30</v>
      </c>
      <c r="C252" t="s">
        <v>31</v>
      </c>
      <c r="D252" t="s">
        <v>32</v>
      </c>
      <c r="E252" t="s">
        <v>446</v>
      </c>
      <c r="F252" t="s">
        <v>194</v>
      </c>
      <c r="G252" t="s">
        <v>195</v>
      </c>
      <c r="H252" t="s">
        <v>50</v>
      </c>
      <c r="I252" t="s">
        <v>196</v>
      </c>
      <c r="J252" t="s">
        <v>473</v>
      </c>
      <c r="K252" t="str">
        <f>"015929"</f>
        <v>0</v>
      </c>
      <c r="L252">
        <v>51700</v>
      </c>
      <c r="M252"/>
      <c r="N252" t="s">
        <v>38</v>
      </c>
      <c r="O252" t="s">
        <v>38</v>
      </c>
      <c r="P252" t="s">
        <v>53</v>
      </c>
      <c r="Q252" t="s">
        <v>38</v>
      </c>
      <c r="R252" t="s">
        <v>38</v>
      </c>
      <c r="S252" t="s">
        <v>42</v>
      </c>
      <c r="T252" t="s">
        <v>42</v>
      </c>
      <c r="U252" t="s">
        <v>463</v>
      </c>
      <c r="V252" t="s">
        <v>395</v>
      </c>
      <c r="W252" t="s">
        <v>463</v>
      </c>
      <c r="X252" t="s">
        <v>45</v>
      </c>
      <c r="Y252" t="s">
        <v>451</v>
      </c>
      <c r="Z252" t="s">
        <v>47</v>
      </c>
      <c r="AA252"/>
      <c r="AB252"/>
      <c r="AC252"/>
      <c r="AD252" t="s">
        <v>397</v>
      </c>
    </row>
    <row r="253" spans="1:30">
      <c r="A253">
        <v>2110060337</v>
      </c>
      <c r="B253" t="s">
        <v>30</v>
      </c>
      <c r="C253" t="s">
        <v>31</v>
      </c>
      <c r="D253" t="s">
        <v>32</v>
      </c>
      <c r="E253" t="s">
        <v>446</v>
      </c>
      <c r="F253" t="s">
        <v>194</v>
      </c>
      <c r="G253" t="s">
        <v>195</v>
      </c>
      <c r="H253" t="s">
        <v>50</v>
      </c>
      <c r="I253" t="s">
        <v>196</v>
      </c>
      <c r="J253" t="s">
        <v>473</v>
      </c>
      <c r="K253" t="str">
        <f>"015921"</f>
        <v>0</v>
      </c>
      <c r="L253">
        <v>51700</v>
      </c>
      <c r="M253"/>
      <c r="N253" t="s">
        <v>38</v>
      </c>
      <c r="O253" t="s">
        <v>38</v>
      </c>
      <c r="P253" t="s">
        <v>53</v>
      </c>
      <c r="Q253" t="s">
        <v>38</v>
      </c>
      <c r="R253" t="s">
        <v>38</v>
      </c>
      <c r="S253" t="s">
        <v>42</v>
      </c>
      <c r="T253" t="s">
        <v>42</v>
      </c>
      <c r="U253" t="s">
        <v>463</v>
      </c>
      <c r="V253" t="s">
        <v>395</v>
      </c>
      <c r="W253" t="s">
        <v>463</v>
      </c>
      <c r="X253" t="s">
        <v>45</v>
      </c>
      <c r="Y253" t="s">
        <v>451</v>
      </c>
      <c r="Z253" t="s">
        <v>47</v>
      </c>
      <c r="AA253"/>
      <c r="AB253"/>
      <c r="AC253"/>
      <c r="AD253" t="s">
        <v>397</v>
      </c>
    </row>
    <row r="254" spans="1:30">
      <c r="A254">
        <v>2110060338</v>
      </c>
      <c r="B254" t="s">
        <v>30</v>
      </c>
      <c r="C254" t="s">
        <v>31</v>
      </c>
      <c r="D254" t="s">
        <v>32</v>
      </c>
      <c r="E254" t="s">
        <v>446</v>
      </c>
      <c r="F254" t="s">
        <v>194</v>
      </c>
      <c r="G254" t="s">
        <v>195</v>
      </c>
      <c r="H254" t="s">
        <v>50</v>
      </c>
      <c r="I254" t="s">
        <v>196</v>
      </c>
      <c r="J254" t="s">
        <v>473</v>
      </c>
      <c r="K254" t="str">
        <f>"015916"</f>
        <v>0</v>
      </c>
      <c r="L254">
        <v>51700</v>
      </c>
      <c r="M254"/>
      <c r="N254" t="s">
        <v>38</v>
      </c>
      <c r="O254" t="s">
        <v>38</v>
      </c>
      <c r="P254" t="s">
        <v>53</v>
      </c>
      <c r="Q254" t="s">
        <v>38</v>
      </c>
      <c r="R254" t="s">
        <v>38</v>
      </c>
      <c r="S254" t="s">
        <v>42</v>
      </c>
      <c r="T254" t="s">
        <v>42</v>
      </c>
      <c r="U254" t="s">
        <v>463</v>
      </c>
      <c r="V254" t="s">
        <v>395</v>
      </c>
      <c r="W254" t="s">
        <v>463</v>
      </c>
      <c r="X254" t="s">
        <v>45</v>
      </c>
      <c r="Y254" t="s">
        <v>451</v>
      </c>
      <c r="Z254" t="s">
        <v>47</v>
      </c>
      <c r="AA254"/>
      <c r="AB254"/>
      <c r="AC254"/>
      <c r="AD254" t="s">
        <v>397</v>
      </c>
    </row>
    <row r="255" spans="1:30">
      <c r="A255">
        <v>2110060339</v>
      </c>
      <c r="B255" t="s">
        <v>30</v>
      </c>
      <c r="C255" t="s">
        <v>31</v>
      </c>
      <c r="D255" t="s">
        <v>32</v>
      </c>
      <c r="E255" t="s">
        <v>446</v>
      </c>
      <c r="F255" t="s">
        <v>194</v>
      </c>
      <c r="G255" t="s">
        <v>195</v>
      </c>
      <c r="H255" t="s">
        <v>50</v>
      </c>
      <c r="I255" t="s">
        <v>196</v>
      </c>
      <c r="J255" t="s">
        <v>473</v>
      </c>
      <c r="K255" t="str">
        <f>"015927"</f>
        <v>0</v>
      </c>
      <c r="L255">
        <v>51700</v>
      </c>
      <c r="M255"/>
      <c r="N255" t="s">
        <v>38</v>
      </c>
      <c r="O255" t="s">
        <v>38</v>
      </c>
      <c r="P255" t="s">
        <v>53</v>
      </c>
      <c r="Q255" t="s">
        <v>38</v>
      </c>
      <c r="R255" t="s">
        <v>38</v>
      </c>
      <c r="S255" t="s">
        <v>42</v>
      </c>
      <c r="T255" t="s">
        <v>42</v>
      </c>
      <c r="U255" t="s">
        <v>463</v>
      </c>
      <c r="V255" t="s">
        <v>395</v>
      </c>
      <c r="W255" t="s">
        <v>463</v>
      </c>
      <c r="X255" t="s">
        <v>45</v>
      </c>
      <c r="Y255" t="s">
        <v>451</v>
      </c>
      <c r="Z255" t="s">
        <v>47</v>
      </c>
      <c r="AA255"/>
      <c r="AB255"/>
      <c r="AC255"/>
      <c r="AD255" t="s">
        <v>397</v>
      </c>
    </row>
    <row r="256" spans="1:30">
      <c r="A256">
        <v>2110060340</v>
      </c>
      <c r="B256" t="s">
        <v>30</v>
      </c>
      <c r="C256" t="s">
        <v>31</v>
      </c>
      <c r="D256" t="s">
        <v>32</v>
      </c>
      <c r="E256" t="s">
        <v>446</v>
      </c>
      <c r="F256" t="s">
        <v>194</v>
      </c>
      <c r="G256" t="s">
        <v>195</v>
      </c>
      <c r="H256" t="s">
        <v>50</v>
      </c>
      <c r="I256" t="s">
        <v>196</v>
      </c>
      <c r="J256" t="s">
        <v>473</v>
      </c>
      <c r="K256" t="str">
        <f>"015928"</f>
        <v>0</v>
      </c>
      <c r="L256">
        <v>51700</v>
      </c>
      <c r="M256"/>
      <c r="N256" t="s">
        <v>38</v>
      </c>
      <c r="O256" t="s">
        <v>38</v>
      </c>
      <c r="P256" t="s">
        <v>53</v>
      </c>
      <c r="Q256" t="s">
        <v>38</v>
      </c>
      <c r="R256" t="s">
        <v>38</v>
      </c>
      <c r="S256" t="s">
        <v>42</v>
      </c>
      <c r="T256" t="s">
        <v>42</v>
      </c>
      <c r="U256" t="s">
        <v>463</v>
      </c>
      <c r="V256" t="s">
        <v>395</v>
      </c>
      <c r="W256" t="s">
        <v>463</v>
      </c>
      <c r="X256" t="s">
        <v>45</v>
      </c>
      <c r="Y256" t="s">
        <v>451</v>
      </c>
      <c r="Z256" t="s">
        <v>47</v>
      </c>
      <c r="AA256"/>
      <c r="AB256"/>
      <c r="AC256"/>
      <c r="AD256" t="s">
        <v>397</v>
      </c>
    </row>
    <row r="257" spans="1:30">
      <c r="A257">
        <v>2110060341</v>
      </c>
      <c r="B257" t="s">
        <v>30</v>
      </c>
      <c r="C257" t="s">
        <v>31</v>
      </c>
      <c r="D257" t="s">
        <v>32</v>
      </c>
      <c r="E257" t="s">
        <v>446</v>
      </c>
      <c r="F257" t="s">
        <v>194</v>
      </c>
      <c r="G257" t="s">
        <v>195</v>
      </c>
      <c r="H257" t="s">
        <v>50</v>
      </c>
      <c r="I257" t="s">
        <v>196</v>
      </c>
      <c r="J257" t="s">
        <v>473</v>
      </c>
      <c r="K257" t="str">
        <f>"015922"</f>
        <v>0</v>
      </c>
      <c r="L257">
        <v>51700</v>
      </c>
      <c r="M257"/>
      <c r="N257" t="s">
        <v>38</v>
      </c>
      <c r="O257" t="s">
        <v>38</v>
      </c>
      <c r="P257" t="s">
        <v>53</v>
      </c>
      <c r="Q257" t="s">
        <v>38</v>
      </c>
      <c r="R257" t="s">
        <v>38</v>
      </c>
      <c r="S257" t="s">
        <v>42</v>
      </c>
      <c r="T257" t="s">
        <v>42</v>
      </c>
      <c r="U257" t="s">
        <v>463</v>
      </c>
      <c r="V257" t="s">
        <v>395</v>
      </c>
      <c r="W257" t="s">
        <v>463</v>
      </c>
      <c r="X257" t="s">
        <v>45</v>
      </c>
      <c r="Y257" t="s">
        <v>451</v>
      </c>
      <c r="Z257" t="s">
        <v>47</v>
      </c>
      <c r="AA257"/>
      <c r="AB257"/>
      <c r="AC257"/>
      <c r="AD257" t="s">
        <v>397</v>
      </c>
    </row>
    <row r="258" spans="1:30">
      <c r="A258">
        <v>2110060342</v>
      </c>
      <c r="B258" t="s">
        <v>30</v>
      </c>
      <c r="C258" t="s">
        <v>31</v>
      </c>
      <c r="D258" t="s">
        <v>32</v>
      </c>
      <c r="E258" t="s">
        <v>446</v>
      </c>
      <c r="F258" t="s">
        <v>194</v>
      </c>
      <c r="G258" t="s">
        <v>195</v>
      </c>
      <c r="H258" t="s">
        <v>50</v>
      </c>
      <c r="I258" t="s">
        <v>196</v>
      </c>
      <c r="J258" t="s">
        <v>473</v>
      </c>
      <c r="K258" t="str">
        <f>"015920"</f>
        <v>0</v>
      </c>
      <c r="L258">
        <v>51700</v>
      </c>
      <c r="M258"/>
      <c r="N258" t="s">
        <v>38</v>
      </c>
      <c r="O258" t="s">
        <v>38</v>
      </c>
      <c r="P258" t="s">
        <v>53</v>
      </c>
      <c r="Q258" t="s">
        <v>38</v>
      </c>
      <c r="R258" t="s">
        <v>38</v>
      </c>
      <c r="S258" t="s">
        <v>42</v>
      </c>
      <c r="T258" t="s">
        <v>42</v>
      </c>
      <c r="U258" t="s">
        <v>463</v>
      </c>
      <c r="V258" t="s">
        <v>395</v>
      </c>
      <c r="W258" t="s">
        <v>463</v>
      </c>
      <c r="X258" t="s">
        <v>45</v>
      </c>
      <c r="Y258" t="s">
        <v>451</v>
      </c>
      <c r="Z258" t="s">
        <v>47</v>
      </c>
      <c r="AA258"/>
      <c r="AB258"/>
      <c r="AC258"/>
      <c r="AD258" t="s">
        <v>397</v>
      </c>
    </row>
    <row r="259" spans="1:30">
      <c r="A259">
        <v>2110060343</v>
      </c>
      <c r="B259" t="s">
        <v>30</v>
      </c>
      <c r="C259" t="s">
        <v>31</v>
      </c>
      <c r="D259" t="s">
        <v>32</v>
      </c>
      <c r="E259" t="s">
        <v>446</v>
      </c>
      <c r="F259" t="s">
        <v>194</v>
      </c>
      <c r="G259" t="s">
        <v>195</v>
      </c>
      <c r="H259" t="s">
        <v>50</v>
      </c>
      <c r="I259" t="s">
        <v>196</v>
      </c>
      <c r="J259" t="s">
        <v>473</v>
      </c>
      <c r="K259" t="str">
        <f>"015918"</f>
        <v>0</v>
      </c>
      <c r="L259">
        <v>51700</v>
      </c>
      <c r="M259"/>
      <c r="N259" t="s">
        <v>38</v>
      </c>
      <c r="O259" t="s">
        <v>38</v>
      </c>
      <c r="P259" t="s">
        <v>53</v>
      </c>
      <c r="Q259" t="s">
        <v>38</v>
      </c>
      <c r="R259" t="s">
        <v>38</v>
      </c>
      <c r="S259" t="s">
        <v>42</v>
      </c>
      <c r="T259" t="s">
        <v>42</v>
      </c>
      <c r="U259" t="s">
        <v>463</v>
      </c>
      <c r="V259" t="s">
        <v>395</v>
      </c>
      <c r="W259" t="s">
        <v>463</v>
      </c>
      <c r="X259" t="s">
        <v>45</v>
      </c>
      <c r="Y259" t="s">
        <v>451</v>
      </c>
      <c r="Z259" t="s">
        <v>47</v>
      </c>
      <c r="AA259"/>
      <c r="AB259"/>
      <c r="AC259"/>
      <c r="AD259" t="s">
        <v>397</v>
      </c>
    </row>
    <row r="260" spans="1:30">
      <c r="A260">
        <v>2110060344</v>
      </c>
      <c r="B260" t="s">
        <v>30</v>
      </c>
      <c r="C260" t="s">
        <v>31</v>
      </c>
      <c r="D260" t="s">
        <v>32</v>
      </c>
      <c r="E260" t="s">
        <v>446</v>
      </c>
      <c r="F260" t="s">
        <v>194</v>
      </c>
      <c r="G260" t="s">
        <v>195</v>
      </c>
      <c r="H260" t="s">
        <v>50</v>
      </c>
      <c r="I260" t="s">
        <v>196</v>
      </c>
      <c r="J260" t="s">
        <v>473</v>
      </c>
      <c r="K260" t="str">
        <f>"015910"</f>
        <v>0</v>
      </c>
      <c r="L260">
        <v>51700</v>
      </c>
      <c r="M260"/>
      <c r="N260" t="s">
        <v>38</v>
      </c>
      <c r="O260" t="s">
        <v>38</v>
      </c>
      <c r="P260" t="s">
        <v>53</v>
      </c>
      <c r="Q260" t="s">
        <v>38</v>
      </c>
      <c r="R260" t="s">
        <v>38</v>
      </c>
      <c r="S260" t="s">
        <v>42</v>
      </c>
      <c r="T260" t="s">
        <v>42</v>
      </c>
      <c r="U260" t="s">
        <v>463</v>
      </c>
      <c r="V260" t="s">
        <v>395</v>
      </c>
      <c r="W260" t="s">
        <v>463</v>
      </c>
      <c r="X260" t="s">
        <v>45</v>
      </c>
      <c r="Y260" t="s">
        <v>451</v>
      </c>
      <c r="Z260" t="s">
        <v>47</v>
      </c>
      <c r="AA260"/>
      <c r="AB260"/>
      <c r="AC260"/>
      <c r="AD260" t="s">
        <v>397</v>
      </c>
    </row>
    <row r="261" spans="1:30">
      <c r="A261">
        <v>2110060345</v>
      </c>
      <c r="B261" t="s">
        <v>30</v>
      </c>
      <c r="C261" t="s">
        <v>31</v>
      </c>
      <c r="D261" t="s">
        <v>32</v>
      </c>
      <c r="E261" t="s">
        <v>446</v>
      </c>
      <c r="F261" t="s">
        <v>246</v>
      </c>
      <c r="G261" t="s">
        <v>247</v>
      </c>
      <c r="H261" t="s">
        <v>50</v>
      </c>
      <c r="I261" t="s">
        <v>461</v>
      </c>
      <c r="J261" t="s">
        <v>474</v>
      </c>
      <c r="K261" t="str">
        <f>"Mbb2200921"</f>
        <v>0</v>
      </c>
      <c r="L261">
        <v>73500</v>
      </c>
      <c r="M261"/>
      <c r="N261" t="s">
        <v>38</v>
      </c>
      <c r="O261" t="s">
        <v>38</v>
      </c>
      <c r="P261" t="s">
        <v>53</v>
      </c>
      <c r="Q261" t="s">
        <v>38</v>
      </c>
      <c r="R261" t="s">
        <v>38</v>
      </c>
      <c r="S261" t="s">
        <v>42</v>
      </c>
      <c r="T261" t="s">
        <v>42</v>
      </c>
      <c r="U261" t="s">
        <v>463</v>
      </c>
      <c r="V261" t="s">
        <v>395</v>
      </c>
      <c r="W261" t="s">
        <v>463</v>
      </c>
      <c r="X261" t="s">
        <v>45</v>
      </c>
      <c r="Y261" t="s">
        <v>451</v>
      </c>
      <c r="Z261" t="s">
        <v>47</v>
      </c>
      <c r="AA261"/>
      <c r="AB261"/>
      <c r="AC261"/>
      <c r="AD261" t="s">
        <v>397</v>
      </c>
    </row>
    <row r="262" spans="1:30">
      <c r="A262">
        <v>2110060346</v>
      </c>
      <c r="B262" t="s">
        <v>30</v>
      </c>
      <c r="C262" t="s">
        <v>31</v>
      </c>
      <c r="D262" t="s">
        <v>32</v>
      </c>
      <c r="E262" t="s">
        <v>446</v>
      </c>
      <c r="F262" t="s">
        <v>246</v>
      </c>
      <c r="G262" t="s">
        <v>247</v>
      </c>
      <c r="H262" t="s">
        <v>50</v>
      </c>
      <c r="I262" t="s">
        <v>461</v>
      </c>
      <c r="J262" t="s">
        <v>474</v>
      </c>
      <c r="K262" t="str">
        <f>"Mbb2200870"</f>
        <v>0</v>
      </c>
      <c r="L262">
        <v>73500</v>
      </c>
      <c r="M262"/>
      <c r="N262" t="s">
        <v>38</v>
      </c>
      <c r="O262" t="s">
        <v>38</v>
      </c>
      <c r="P262" t="s">
        <v>53</v>
      </c>
      <c r="Q262" t="s">
        <v>38</v>
      </c>
      <c r="R262" t="s">
        <v>38</v>
      </c>
      <c r="S262" t="s">
        <v>42</v>
      </c>
      <c r="T262" t="s">
        <v>42</v>
      </c>
      <c r="U262" t="s">
        <v>463</v>
      </c>
      <c r="V262" t="s">
        <v>395</v>
      </c>
      <c r="W262" t="s">
        <v>463</v>
      </c>
      <c r="X262" t="s">
        <v>45</v>
      </c>
      <c r="Y262" t="s">
        <v>451</v>
      </c>
      <c r="Z262" t="s">
        <v>47</v>
      </c>
      <c r="AA262"/>
      <c r="AB262"/>
      <c r="AC262"/>
      <c r="AD262" t="s">
        <v>397</v>
      </c>
    </row>
    <row r="263" spans="1:30">
      <c r="A263">
        <v>2110060347</v>
      </c>
      <c r="B263" t="s">
        <v>30</v>
      </c>
      <c r="C263" t="s">
        <v>31</v>
      </c>
      <c r="D263" t="s">
        <v>32</v>
      </c>
      <c r="E263" t="s">
        <v>446</v>
      </c>
      <c r="F263" t="s">
        <v>246</v>
      </c>
      <c r="G263" t="s">
        <v>247</v>
      </c>
      <c r="H263" t="s">
        <v>50</v>
      </c>
      <c r="I263" t="s">
        <v>461</v>
      </c>
      <c r="J263" t="s">
        <v>474</v>
      </c>
      <c r="K263" t="str">
        <f>"Mbb2200929"</f>
        <v>0</v>
      </c>
      <c r="L263">
        <v>73500</v>
      </c>
      <c r="M263"/>
      <c r="N263" t="s">
        <v>38</v>
      </c>
      <c r="O263" t="s">
        <v>38</v>
      </c>
      <c r="P263" t="s">
        <v>53</v>
      </c>
      <c r="Q263" t="s">
        <v>38</v>
      </c>
      <c r="R263" t="s">
        <v>38</v>
      </c>
      <c r="S263" t="s">
        <v>42</v>
      </c>
      <c r="T263" t="s">
        <v>42</v>
      </c>
      <c r="U263" t="s">
        <v>463</v>
      </c>
      <c r="V263" t="s">
        <v>395</v>
      </c>
      <c r="W263" t="s">
        <v>463</v>
      </c>
      <c r="X263" t="s">
        <v>45</v>
      </c>
      <c r="Y263" t="s">
        <v>451</v>
      </c>
      <c r="Z263" t="s">
        <v>47</v>
      </c>
      <c r="AA263"/>
      <c r="AB263"/>
      <c r="AC263"/>
      <c r="AD263" t="s">
        <v>397</v>
      </c>
    </row>
    <row r="264" spans="1:30">
      <c r="A264">
        <v>2110060349</v>
      </c>
      <c r="B264" t="s">
        <v>30</v>
      </c>
      <c r="C264" t="s">
        <v>31</v>
      </c>
      <c r="D264" t="s">
        <v>32</v>
      </c>
      <c r="E264" t="s">
        <v>359</v>
      </c>
      <c r="F264" t="s">
        <v>108</v>
      </c>
      <c r="G264" t="s">
        <v>109</v>
      </c>
      <c r="H264" t="s">
        <v>50</v>
      </c>
      <c r="I264" t="s">
        <v>110</v>
      </c>
      <c r="J264" t="s">
        <v>475</v>
      </c>
      <c r="K264" t="str">
        <f>"334"</f>
        <v>0</v>
      </c>
      <c r="L264">
        <v>12500</v>
      </c>
      <c r="M264"/>
      <c r="N264" t="s">
        <v>38</v>
      </c>
      <c r="O264" t="s">
        <v>38</v>
      </c>
      <c r="P264" t="s">
        <v>53</v>
      </c>
      <c r="Q264" t="s">
        <v>38</v>
      </c>
      <c r="R264" t="s">
        <v>38</v>
      </c>
      <c r="S264" t="s">
        <v>42</v>
      </c>
      <c r="T264" t="s">
        <v>42</v>
      </c>
      <c r="U264" t="s">
        <v>463</v>
      </c>
      <c r="V264" t="s">
        <v>44</v>
      </c>
      <c r="W264" t="s">
        <v>463</v>
      </c>
      <c r="X264" t="s">
        <v>45</v>
      </c>
      <c r="Y264" t="s">
        <v>451</v>
      </c>
      <c r="Z264" t="s">
        <v>47</v>
      </c>
      <c r="AA264"/>
      <c r="AB264"/>
      <c r="AC264"/>
      <c r="AD264"/>
    </row>
    <row r="265" spans="1:30">
      <c r="A265">
        <v>2110060351</v>
      </c>
      <c r="B265" t="s">
        <v>30</v>
      </c>
      <c r="C265" t="s">
        <v>31</v>
      </c>
      <c r="D265" t="s">
        <v>32</v>
      </c>
      <c r="E265" t="s">
        <v>359</v>
      </c>
      <c r="F265" t="s">
        <v>64</v>
      </c>
      <c r="G265" t="s">
        <v>476</v>
      </c>
      <c r="H265" t="s">
        <v>50</v>
      </c>
      <c r="I265" t="s">
        <v>100</v>
      </c>
      <c r="J265" t="s">
        <v>59</v>
      </c>
      <c r="K265" t="str">
        <f>"na"</f>
        <v>0</v>
      </c>
      <c r="L265">
        <v>30000</v>
      </c>
      <c r="M265"/>
      <c r="N265" t="s">
        <v>38</v>
      </c>
      <c r="O265" t="s">
        <v>38</v>
      </c>
      <c r="P265" t="s">
        <v>53</v>
      </c>
      <c r="Q265" t="s">
        <v>38</v>
      </c>
      <c r="R265" t="s">
        <v>38</v>
      </c>
      <c r="S265" t="s">
        <v>42</v>
      </c>
      <c r="T265" t="s">
        <v>42</v>
      </c>
      <c r="U265" t="s">
        <v>463</v>
      </c>
      <c r="V265" t="s">
        <v>395</v>
      </c>
      <c r="W265" t="s">
        <v>463</v>
      </c>
      <c r="X265" t="s">
        <v>45</v>
      </c>
      <c r="Y265" t="s">
        <v>451</v>
      </c>
      <c r="Z265" t="s">
        <v>47</v>
      </c>
      <c r="AA265"/>
      <c r="AB265"/>
      <c r="AC265"/>
      <c r="AD265" t="s">
        <v>456</v>
      </c>
    </row>
    <row r="266" spans="1:30">
      <c r="A266">
        <v>2110060352</v>
      </c>
      <c r="B266" t="s">
        <v>30</v>
      </c>
      <c r="C266" t="s">
        <v>31</v>
      </c>
      <c r="D266" t="s">
        <v>32</v>
      </c>
      <c r="E266" t="s">
        <v>359</v>
      </c>
      <c r="F266" t="s">
        <v>56</v>
      </c>
      <c r="G266" t="s">
        <v>57</v>
      </c>
      <c r="H266" t="s">
        <v>50</v>
      </c>
      <c r="I266" t="s">
        <v>58</v>
      </c>
      <c r="J266" t="s">
        <v>59</v>
      </c>
      <c r="K266" t="str">
        <f>"B10612135"</f>
        <v>0</v>
      </c>
      <c r="L266">
        <v>72269</v>
      </c>
      <c r="M266"/>
      <c r="N266" t="s">
        <v>38</v>
      </c>
      <c r="O266" t="s">
        <v>38</v>
      </c>
      <c r="P266" t="s">
        <v>53</v>
      </c>
      <c r="Q266" t="s">
        <v>38</v>
      </c>
      <c r="R266" t="s">
        <v>38</v>
      </c>
      <c r="S266" t="s">
        <v>266</v>
      </c>
      <c r="T266" t="s">
        <v>266</v>
      </c>
      <c r="U266" t="s">
        <v>463</v>
      </c>
      <c r="V266" t="s">
        <v>395</v>
      </c>
      <c r="W266" t="s">
        <v>463</v>
      </c>
      <c r="X266" t="s">
        <v>45</v>
      </c>
      <c r="Y266" t="s">
        <v>451</v>
      </c>
      <c r="Z266" t="s">
        <v>70</v>
      </c>
      <c r="AA266"/>
      <c r="AB266"/>
      <c r="AC266"/>
      <c r="AD266" t="s">
        <v>445</v>
      </c>
    </row>
    <row r="267" spans="1:30">
      <c r="A267">
        <v>2110060353</v>
      </c>
      <c r="B267" t="s">
        <v>30</v>
      </c>
      <c r="C267" t="s">
        <v>31</v>
      </c>
      <c r="D267" t="s">
        <v>32</v>
      </c>
      <c r="E267" t="s">
        <v>359</v>
      </c>
      <c r="F267" t="s">
        <v>108</v>
      </c>
      <c r="G267" t="s">
        <v>109</v>
      </c>
      <c r="H267" t="s">
        <v>50</v>
      </c>
      <c r="I267" t="s">
        <v>450</v>
      </c>
      <c r="J267" t="s">
        <v>315</v>
      </c>
      <c r="K267" t="str">
        <f>"na"</f>
        <v>0</v>
      </c>
      <c r="L267">
        <v>10000</v>
      </c>
      <c r="M267"/>
      <c r="N267" t="s">
        <v>38</v>
      </c>
      <c r="O267" t="s">
        <v>38</v>
      </c>
      <c r="P267" t="s">
        <v>53</v>
      </c>
      <c r="Q267" t="s">
        <v>38</v>
      </c>
      <c r="R267" t="s">
        <v>38</v>
      </c>
      <c r="S267" t="s">
        <v>42</v>
      </c>
      <c r="T267" t="s">
        <v>42</v>
      </c>
      <c r="U267" t="s">
        <v>463</v>
      </c>
      <c r="V267" t="s">
        <v>395</v>
      </c>
      <c r="W267" t="s">
        <v>463</v>
      </c>
      <c r="X267" t="s">
        <v>45</v>
      </c>
      <c r="Y267" t="s">
        <v>451</v>
      </c>
      <c r="Z267" t="s">
        <v>47</v>
      </c>
      <c r="AA267"/>
      <c r="AB267"/>
      <c r="AC267"/>
      <c r="AD267" t="s">
        <v>445</v>
      </c>
    </row>
    <row r="268" spans="1:30">
      <c r="A268">
        <v>5110190001</v>
      </c>
      <c r="B268" t="s">
        <v>30</v>
      </c>
      <c r="C268" t="s">
        <v>230</v>
      </c>
      <c r="D268" t="s">
        <v>477</v>
      </c>
      <c r="E268" t="s">
        <v>64</v>
      </c>
      <c r="F268" t="s">
        <v>64</v>
      </c>
      <c r="G268" t="s">
        <v>99</v>
      </c>
      <c r="H268" t="s">
        <v>50</v>
      </c>
      <c r="I268" t="s">
        <v>439</v>
      </c>
      <c r="J268" t="s">
        <v>440</v>
      </c>
      <c r="K268" t="str">
        <f>"B213180407Ds"</f>
        <v>0</v>
      </c>
      <c r="L268">
        <v>36000</v>
      </c>
      <c r="M268"/>
      <c r="N268" t="s">
        <v>38</v>
      </c>
      <c r="O268" t="s">
        <v>38</v>
      </c>
      <c r="P268" t="s">
        <v>53</v>
      </c>
      <c r="Q268" t="s">
        <v>38</v>
      </c>
      <c r="R268" t="s">
        <v>38</v>
      </c>
      <c r="S268" t="s">
        <v>42</v>
      </c>
      <c r="T268" t="s">
        <v>42</v>
      </c>
      <c r="U268" t="s">
        <v>463</v>
      </c>
      <c r="V268" t="s">
        <v>44</v>
      </c>
      <c r="W268" t="s">
        <v>463</v>
      </c>
      <c r="X268" t="s">
        <v>45</v>
      </c>
      <c r="Y268" t="s">
        <v>478</v>
      </c>
      <c r="Z268" t="s">
        <v>47</v>
      </c>
      <c r="AA268"/>
      <c r="AB268"/>
      <c r="AC268"/>
      <c r="AD268"/>
    </row>
    <row r="269" spans="1:30">
      <c r="A269">
        <v>5110190002</v>
      </c>
      <c r="B269" t="s">
        <v>30</v>
      </c>
      <c r="C269" t="s">
        <v>230</v>
      </c>
      <c r="D269" t="s">
        <v>477</v>
      </c>
      <c r="E269" t="s">
        <v>64</v>
      </c>
      <c r="F269" t="s">
        <v>401</v>
      </c>
      <c r="G269" t="s">
        <v>479</v>
      </c>
      <c r="H269" t="s">
        <v>50</v>
      </c>
      <c r="I269" t="s">
        <v>375</v>
      </c>
      <c r="J269" t="s">
        <v>480</v>
      </c>
      <c r="K269" t="str">
        <f>"na"</f>
        <v>0</v>
      </c>
      <c r="L269">
        <v>25000</v>
      </c>
      <c r="M269"/>
      <c r="N269" t="s">
        <v>38</v>
      </c>
      <c r="O269" t="s">
        <v>38</v>
      </c>
      <c r="P269" t="s">
        <v>53</v>
      </c>
      <c r="Q269" t="s">
        <v>38</v>
      </c>
      <c r="R269" t="s">
        <v>38</v>
      </c>
      <c r="S269" t="s">
        <v>42</v>
      </c>
      <c r="T269" t="s">
        <v>42</v>
      </c>
      <c r="U269" t="s">
        <v>463</v>
      </c>
      <c r="V269" t="s">
        <v>44</v>
      </c>
      <c r="W269" t="s">
        <v>463</v>
      </c>
      <c r="X269" t="s">
        <v>45</v>
      </c>
      <c r="Y269" t="s">
        <v>478</v>
      </c>
      <c r="Z269" t="s">
        <v>47</v>
      </c>
      <c r="AA269"/>
      <c r="AB269"/>
      <c r="AC269"/>
      <c r="AD269"/>
    </row>
    <row r="270" spans="1:30">
      <c r="A270">
        <v>2110060360</v>
      </c>
      <c r="B270" t="s">
        <v>30</v>
      </c>
      <c r="C270" t="s">
        <v>31</v>
      </c>
      <c r="D270" t="s">
        <v>32</v>
      </c>
      <c r="E270" t="s">
        <v>468</v>
      </c>
      <c r="F270" t="s">
        <v>166</v>
      </c>
      <c r="G270" t="s">
        <v>167</v>
      </c>
      <c r="H270" t="s">
        <v>35</v>
      </c>
      <c r="I270" t="s">
        <v>311</v>
      </c>
      <c r="J270" t="s">
        <v>312</v>
      </c>
      <c r="K270" t="str">
        <f>"DE671H1929"</f>
        <v>0</v>
      </c>
      <c r="L270">
        <v>529100</v>
      </c>
      <c r="M270"/>
      <c r="N270" t="s">
        <v>38</v>
      </c>
      <c r="O270" t="s">
        <v>38</v>
      </c>
      <c r="P270" t="s">
        <v>53</v>
      </c>
      <c r="Q270" t="s">
        <v>38</v>
      </c>
      <c r="R270" t="s">
        <v>38</v>
      </c>
      <c r="S270" t="s">
        <v>42</v>
      </c>
      <c r="T270" t="s">
        <v>42</v>
      </c>
      <c r="U270" t="s">
        <v>463</v>
      </c>
      <c r="V270" t="s">
        <v>395</v>
      </c>
      <c r="W270" t="s">
        <v>463</v>
      </c>
      <c r="X270" t="s">
        <v>45</v>
      </c>
      <c r="Y270" t="s">
        <v>481</v>
      </c>
      <c r="Z270" t="s">
        <v>47</v>
      </c>
      <c r="AA270"/>
      <c r="AB270"/>
      <c r="AC270"/>
      <c r="AD270" t="s">
        <v>456</v>
      </c>
    </row>
    <row r="271" spans="1:30">
      <c r="A271">
        <v>2110060362</v>
      </c>
      <c r="B271" t="s">
        <v>30</v>
      </c>
      <c r="C271" t="s">
        <v>31</v>
      </c>
      <c r="D271" t="s">
        <v>32</v>
      </c>
      <c r="E271" t="s">
        <v>112</v>
      </c>
      <c r="F271" t="s">
        <v>64</v>
      </c>
      <c r="G271" t="s">
        <v>99</v>
      </c>
      <c r="H271" t="s">
        <v>50</v>
      </c>
      <c r="I271" t="s">
        <v>466</v>
      </c>
      <c r="J271" t="s">
        <v>467</v>
      </c>
      <c r="K271" t="str">
        <f>"Dm210513430"</f>
        <v>0</v>
      </c>
      <c r="L271">
        <v>36000</v>
      </c>
      <c r="M271"/>
      <c r="N271" t="s">
        <v>38</v>
      </c>
      <c r="O271" t="s">
        <v>38</v>
      </c>
      <c r="P271" t="s">
        <v>53</v>
      </c>
      <c r="Q271" t="s">
        <v>38</v>
      </c>
      <c r="R271" t="s">
        <v>38</v>
      </c>
      <c r="S271" t="s">
        <v>42</v>
      </c>
      <c r="T271" t="s">
        <v>42</v>
      </c>
      <c r="U271" t="s">
        <v>463</v>
      </c>
      <c r="V271" t="s">
        <v>395</v>
      </c>
      <c r="W271" t="s">
        <v>463</v>
      </c>
      <c r="X271" t="s">
        <v>45</v>
      </c>
      <c r="Y271" t="s">
        <v>481</v>
      </c>
      <c r="Z271" t="s">
        <v>47</v>
      </c>
      <c r="AA271"/>
      <c r="AB271"/>
      <c r="AC271"/>
      <c r="AD271" t="s">
        <v>456</v>
      </c>
    </row>
    <row r="272" spans="1:30">
      <c r="A272">
        <v>2110060363</v>
      </c>
      <c r="B272" t="s">
        <v>30</v>
      </c>
      <c r="C272" t="s">
        <v>31</v>
      </c>
      <c r="D272" t="s">
        <v>32</v>
      </c>
      <c r="E272" t="s">
        <v>112</v>
      </c>
      <c r="F272" t="s">
        <v>64</v>
      </c>
      <c r="G272" t="s">
        <v>99</v>
      </c>
      <c r="H272" t="s">
        <v>50</v>
      </c>
      <c r="I272" t="s">
        <v>469</v>
      </c>
      <c r="J272" t="s">
        <v>482</v>
      </c>
      <c r="K272" t="str">
        <f>"06-28-210500439"</f>
        <v>0</v>
      </c>
      <c r="L272">
        <v>36000</v>
      </c>
      <c r="M272"/>
      <c r="N272" t="s">
        <v>38</v>
      </c>
      <c r="O272" t="s">
        <v>38</v>
      </c>
      <c r="P272" t="s">
        <v>53</v>
      </c>
      <c r="Q272" t="s">
        <v>38</v>
      </c>
      <c r="R272" t="s">
        <v>38</v>
      </c>
      <c r="S272" t="s">
        <v>42</v>
      </c>
      <c r="T272" t="s">
        <v>42</v>
      </c>
      <c r="U272" t="s">
        <v>463</v>
      </c>
      <c r="V272" t="s">
        <v>395</v>
      </c>
      <c r="W272" t="s">
        <v>463</v>
      </c>
      <c r="X272" t="s">
        <v>45</v>
      </c>
      <c r="Y272" t="s">
        <v>481</v>
      </c>
      <c r="Z272" t="s">
        <v>47</v>
      </c>
      <c r="AA272"/>
      <c r="AB272"/>
      <c r="AC272"/>
      <c r="AD272" t="s">
        <v>456</v>
      </c>
    </row>
    <row r="273" spans="1:30">
      <c r="A273">
        <v>2110060364</v>
      </c>
      <c r="B273" t="s">
        <v>30</v>
      </c>
      <c r="C273" t="s">
        <v>31</v>
      </c>
      <c r="D273" t="s">
        <v>32</v>
      </c>
      <c r="E273" t="s">
        <v>112</v>
      </c>
      <c r="F273" t="s">
        <v>64</v>
      </c>
      <c r="G273" t="s">
        <v>99</v>
      </c>
      <c r="H273" t="s">
        <v>50</v>
      </c>
      <c r="I273" t="s">
        <v>469</v>
      </c>
      <c r="J273" t="s">
        <v>482</v>
      </c>
      <c r="K273" t="str">
        <f>"06-28-210500281"</f>
        <v>0</v>
      </c>
      <c r="L273">
        <v>36000</v>
      </c>
      <c r="M273"/>
      <c r="N273" t="s">
        <v>38</v>
      </c>
      <c r="O273" t="s">
        <v>38</v>
      </c>
      <c r="P273" t="s">
        <v>53</v>
      </c>
      <c r="Q273" t="s">
        <v>38</v>
      </c>
      <c r="R273" t="s">
        <v>38</v>
      </c>
      <c r="S273" t="s">
        <v>42</v>
      </c>
      <c r="T273" t="s">
        <v>42</v>
      </c>
      <c r="U273" t="s">
        <v>463</v>
      </c>
      <c r="V273" t="s">
        <v>395</v>
      </c>
      <c r="W273" t="s">
        <v>463</v>
      </c>
      <c r="X273" t="s">
        <v>45</v>
      </c>
      <c r="Y273" t="s">
        <v>481</v>
      </c>
      <c r="Z273" t="s">
        <v>47</v>
      </c>
      <c r="AA273"/>
      <c r="AB273"/>
      <c r="AC273"/>
      <c r="AD273" t="s">
        <v>456</v>
      </c>
    </row>
    <row r="274" spans="1:30">
      <c r="A274">
        <v>2110060264</v>
      </c>
      <c r="B274" t="s">
        <v>30</v>
      </c>
      <c r="C274" t="s">
        <v>31</v>
      </c>
      <c r="D274" t="s">
        <v>32</v>
      </c>
      <c r="E274" t="s">
        <v>93</v>
      </c>
      <c r="F274" t="s">
        <v>246</v>
      </c>
      <c r="G274" t="s">
        <v>247</v>
      </c>
      <c r="H274" t="s">
        <v>50</v>
      </c>
      <c r="I274" t="s">
        <v>427</v>
      </c>
      <c r="J274" t="s">
        <v>483</v>
      </c>
      <c r="K274" t="str">
        <f>"6000014912"</f>
        <v>0</v>
      </c>
      <c r="L274">
        <v>36900</v>
      </c>
      <c r="M274"/>
      <c r="N274" t="s">
        <v>38</v>
      </c>
      <c r="O274" t="s">
        <v>38</v>
      </c>
      <c r="P274" t="s">
        <v>53</v>
      </c>
      <c r="Q274" t="s">
        <v>38</v>
      </c>
      <c r="R274" t="s">
        <v>38</v>
      </c>
      <c r="S274" t="s">
        <v>42</v>
      </c>
      <c r="T274" t="s">
        <v>42</v>
      </c>
      <c r="U274" t="s">
        <v>463</v>
      </c>
      <c r="V274" t="s">
        <v>395</v>
      </c>
      <c r="W274" t="s">
        <v>463</v>
      </c>
      <c r="X274" t="s">
        <v>45</v>
      </c>
      <c r="Y274" t="s">
        <v>484</v>
      </c>
      <c r="Z274" t="s">
        <v>47</v>
      </c>
      <c r="AA274"/>
      <c r="AB274"/>
      <c r="AC274"/>
      <c r="AD274" t="s">
        <v>456</v>
      </c>
    </row>
    <row r="275" spans="1:30">
      <c r="A275">
        <v>2110060260</v>
      </c>
      <c r="B275" t="s">
        <v>30</v>
      </c>
      <c r="C275" t="s">
        <v>31</v>
      </c>
      <c r="D275" t="s">
        <v>32</v>
      </c>
      <c r="E275" t="s">
        <v>93</v>
      </c>
      <c r="F275" t="s">
        <v>246</v>
      </c>
      <c r="G275" t="s">
        <v>247</v>
      </c>
      <c r="H275" t="s">
        <v>50</v>
      </c>
      <c r="I275" t="s">
        <v>461</v>
      </c>
      <c r="J275" t="s">
        <v>485</v>
      </c>
      <c r="K275" t="str">
        <f>"MBB2200807"</f>
        <v>0</v>
      </c>
      <c r="L275">
        <v>73500</v>
      </c>
      <c r="M275"/>
      <c r="N275" t="s">
        <v>38</v>
      </c>
      <c r="O275" t="s">
        <v>38</v>
      </c>
      <c r="P275" t="s">
        <v>53</v>
      </c>
      <c r="Q275" t="s">
        <v>38</v>
      </c>
      <c r="R275" t="s">
        <v>38</v>
      </c>
      <c r="S275" t="s">
        <v>42</v>
      </c>
      <c r="T275" t="s">
        <v>42</v>
      </c>
      <c r="U275" t="s">
        <v>463</v>
      </c>
      <c r="V275" t="s">
        <v>395</v>
      </c>
      <c r="W275" t="s">
        <v>463</v>
      </c>
      <c r="X275" t="s">
        <v>45</v>
      </c>
      <c r="Y275" t="s">
        <v>234</v>
      </c>
      <c r="Z275" t="s">
        <v>47</v>
      </c>
      <c r="AA275"/>
      <c r="AB275"/>
      <c r="AC275"/>
      <c r="AD275" t="s">
        <v>456</v>
      </c>
    </row>
    <row r="276" spans="1:30">
      <c r="A276">
        <v>2110060261</v>
      </c>
      <c r="B276" t="s">
        <v>30</v>
      </c>
      <c r="C276" t="s">
        <v>31</v>
      </c>
      <c r="D276" t="s">
        <v>32</v>
      </c>
      <c r="E276" t="s">
        <v>93</v>
      </c>
      <c r="F276" t="s">
        <v>246</v>
      </c>
      <c r="G276" t="s">
        <v>247</v>
      </c>
      <c r="H276" t="s">
        <v>50</v>
      </c>
      <c r="I276" t="s">
        <v>461</v>
      </c>
      <c r="J276" t="s">
        <v>485</v>
      </c>
      <c r="K276" t="str">
        <f>"MBB2200883"</f>
        <v>0</v>
      </c>
      <c r="L276">
        <v>73500</v>
      </c>
      <c r="M276"/>
      <c r="N276" t="s">
        <v>38</v>
      </c>
      <c r="O276" t="s">
        <v>38</v>
      </c>
      <c r="P276" t="s">
        <v>53</v>
      </c>
      <c r="Q276" t="s">
        <v>38</v>
      </c>
      <c r="R276" t="s">
        <v>38</v>
      </c>
      <c r="S276" t="s">
        <v>42</v>
      </c>
      <c r="T276" t="s">
        <v>42</v>
      </c>
      <c r="U276" t="s">
        <v>463</v>
      </c>
      <c r="V276" t="s">
        <v>395</v>
      </c>
      <c r="W276" t="s">
        <v>463</v>
      </c>
      <c r="X276" t="s">
        <v>45</v>
      </c>
      <c r="Y276" t="s">
        <v>234</v>
      </c>
      <c r="Z276" t="s">
        <v>47</v>
      </c>
      <c r="AA276"/>
      <c r="AB276"/>
      <c r="AC276"/>
      <c r="AD276" t="s">
        <v>456</v>
      </c>
    </row>
    <row r="277" spans="1:30">
      <c r="A277">
        <v>2110060262</v>
      </c>
      <c r="B277" t="s">
        <v>30</v>
      </c>
      <c r="C277" t="s">
        <v>31</v>
      </c>
      <c r="D277" t="s">
        <v>32</v>
      </c>
      <c r="E277" t="s">
        <v>93</v>
      </c>
      <c r="F277" t="s">
        <v>246</v>
      </c>
      <c r="G277" t="s">
        <v>247</v>
      </c>
      <c r="H277" t="s">
        <v>50</v>
      </c>
      <c r="I277" t="s">
        <v>461</v>
      </c>
      <c r="J277" t="s">
        <v>485</v>
      </c>
      <c r="K277" t="str">
        <f>"MBB2200839"</f>
        <v>0</v>
      </c>
      <c r="L277">
        <v>73500</v>
      </c>
      <c r="M277"/>
      <c r="N277" t="s">
        <v>38</v>
      </c>
      <c r="O277" t="s">
        <v>38</v>
      </c>
      <c r="P277" t="s">
        <v>53</v>
      </c>
      <c r="Q277" t="s">
        <v>38</v>
      </c>
      <c r="R277" t="s">
        <v>38</v>
      </c>
      <c r="S277" t="s">
        <v>42</v>
      </c>
      <c r="T277" t="s">
        <v>42</v>
      </c>
      <c r="U277" t="s">
        <v>463</v>
      </c>
      <c r="V277" t="s">
        <v>395</v>
      </c>
      <c r="W277" t="s">
        <v>463</v>
      </c>
      <c r="X277" t="s">
        <v>45</v>
      </c>
      <c r="Y277" t="s">
        <v>234</v>
      </c>
      <c r="Z277" t="s">
        <v>47</v>
      </c>
      <c r="AA277"/>
      <c r="AB277"/>
      <c r="AC277"/>
      <c r="AD277" t="s">
        <v>456</v>
      </c>
    </row>
    <row r="278" spans="1:30">
      <c r="A278">
        <v>2110060263</v>
      </c>
      <c r="B278" t="s">
        <v>30</v>
      </c>
      <c r="C278" t="s">
        <v>31</v>
      </c>
      <c r="D278" t="s">
        <v>32</v>
      </c>
      <c r="E278" t="s">
        <v>93</v>
      </c>
      <c r="F278" t="s">
        <v>194</v>
      </c>
      <c r="G278" t="s">
        <v>195</v>
      </c>
      <c r="H278" t="s">
        <v>50</v>
      </c>
      <c r="I278" t="s">
        <v>355</v>
      </c>
      <c r="J278" t="s">
        <v>486</v>
      </c>
      <c r="K278" t="str">
        <f>"9135012113632"</f>
        <v>0</v>
      </c>
      <c r="L278">
        <v>39500</v>
      </c>
      <c r="M278"/>
      <c r="N278" t="s">
        <v>38</v>
      </c>
      <c r="O278" t="s">
        <v>38</v>
      </c>
      <c r="P278" t="s">
        <v>53</v>
      </c>
      <c r="Q278" t="s">
        <v>38</v>
      </c>
      <c r="R278" t="s">
        <v>38</v>
      </c>
      <c r="S278" t="s">
        <v>42</v>
      </c>
      <c r="T278" t="s">
        <v>42</v>
      </c>
      <c r="U278" t="s">
        <v>463</v>
      </c>
      <c r="V278" t="s">
        <v>395</v>
      </c>
      <c r="W278" t="s">
        <v>463</v>
      </c>
      <c r="X278" t="s">
        <v>45</v>
      </c>
      <c r="Y278" t="s">
        <v>234</v>
      </c>
      <c r="Z278" t="s">
        <v>47</v>
      </c>
      <c r="AA278"/>
      <c r="AB278"/>
      <c r="AC278"/>
      <c r="AD278" t="s">
        <v>456</v>
      </c>
    </row>
    <row r="279" spans="1:30">
      <c r="A279">
        <v>2110060265</v>
      </c>
      <c r="B279" t="s">
        <v>30</v>
      </c>
      <c r="C279" t="s">
        <v>31</v>
      </c>
      <c r="D279" t="s">
        <v>32</v>
      </c>
      <c r="E279" t="s">
        <v>93</v>
      </c>
      <c r="F279" t="s">
        <v>194</v>
      </c>
      <c r="G279" t="s">
        <v>195</v>
      </c>
      <c r="H279" t="s">
        <v>50</v>
      </c>
      <c r="I279" t="s">
        <v>355</v>
      </c>
      <c r="J279" t="s">
        <v>486</v>
      </c>
      <c r="K279" t="str">
        <f>"9135012113597"</f>
        <v>0</v>
      </c>
      <c r="L279">
        <v>39500</v>
      </c>
      <c r="M279"/>
      <c r="N279" t="s">
        <v>38</v>
      </c>
      <c r="O279" t="s">
        <v>38</v>
      </c>
      <c r="P279" t="s">
        <v>53</v>
      </c>
      <c r="Q279" t="s">
        <v>38</v>
      </c>
      <c r="R279" t="s">
        <v>38</v>
      </c>
      <c r="S279" t="s">
        <v>42</v>
      </c>
      <c r="T279" t="s">
        <v>42</v>
      </c>
      <c r="U279" t="s">
        <v>463</v>
      </c>
      <c r="V279" t="s">
        <v>395</v>
      </c>
      <c r="W279" t="s">
        <v>463</v>
      </c>
      <c r="X279" t="s">
        <v>45</v>
      </c>
      <c r="Y279" t="s">
        <v>234</v>
      </c>
      <c r="Z279" t="s">
        <v>47</v>
      </c>
      <c r="AA279"/>
      <c r="AB279"/>
      <c r="AC279"/>
      <c r="AD279" t="s">
        <v>456</v>
      </c>
    </row>
    <row r="280" spans="1:30">
      <c r="A280">
        <v>2110060266</v>
      </c>
      <c r="B280" t="s">
        <v>30</v>
      </c>
      <c r="C280" t="s">
        <v>31</v>
      </c>
      <c r="D280" t="s">
        <v>32</v>
      </c>
      <c r="E280" t="s">
        <v>93</v>
      </c>
      <c r="F280" t="s">
        <v>194</v>
      </c>
      <c r="G280" t="s">
        <v>195</v>
      </c>
      <c r="H280" t="s">
        <v>50</v>
      </c>
      <c r="I280" t="s">
        <v>355</v>
      </c>
      <c r="J280" t="s">
        <v>486</v>
      </c>
      <c r="K280" t="str">
        <f>"9135012113635"</f>
        <v>0</v>
      </c>
      <c r="L280">
        <v>39500</v>
      </c>
      <c r="M280"/>
      <c r="N280" t="s">
        <v>38</v>
      </c>
      <c r="O280" t="s">
        <v>38</v>
      </c>
      <c r="P280" t="s">
        <v>53</v>
      </c>
      <c r="Q280" t="s">
        <v>38</v>
      </c>
      <c r="R280" t="s">
        <v>38</v>
      </c>
      <c r="S280" t="s">
        <v>42</v>
      </c>
      <c r="T280" t="s">
        <v>42</v>
      </c>
      <c r="U280" t="s">
        <v>463</v>
      </c>
      <c r="V280" t="s">
        <v>395</v>
      </c>
      <c r="W280" t="s">
        <v>463</v>
      </c>
      <c r="X280" t="s">
        <v>45</v>
      </c>
      <c r="Y280" t="s">
        <v>234</v>
      </c>
      <c r="Z280" t="s">
        <v>47</v>
      </c>
      <c r="AA280"/>
      <c r="AB280"/>
      <c r="AC280"/>
      <c r="AD280" t="s">
        <v>456</v>
      </c>
    </row>
    <row r="281" spans="1:30">
      <c r="A281">
        <v>2110060267</v>
      </c>
      <c r="B281" t="s">
        <v>30</v>
      </c>
      <c r="C281" t="s">
        <v>31</v>
      </c>
      <c r="D281" t="s">
        <v>32</v>
      </c>
      <c r="E281" t="s">
        <v>93</v>
      </c>
      <c r="F281" t="s">
        <v>194</v>
      </c>
      <c r="G281" t="s">
        <v>195</v>
      </c>
      <c r="H281" t="s">
        <v>50</v>
      </c>
      <c r="I281" t="s">
        <v>355</v>
      </c>
      <c r="J281" t="s">
        <v>486</v>
      </c>
      <c r="K281" t="str">
        <f>"9135012113541"</f>
        <v>0</v>
      </c>
      <c r="L281">
        <v>39500</v>
      </c>
      <c r="M281"/>
      <c r="N281" t="s">
        <v>38</v>
      </c>
      <c r="O281" t="s">
        <v>38</v>
      </c>
      <c r="P281" t="s">
        <v>53</v>
      </c>
      <c r="Q281" t="s">
        <v>38</v>
      </c>
      <c r="R281" t="s">
        <v>38</v>
      </c>
      <c r="S281" t="s">
        <v>42</v>
      </c>
      <c r="T281" t="s">
        <v>42</v>
      </c>
      <c r="U281" t="s">
        <v>463</v>
      </c>
      <c r="V281" t="s">
        <v>395</v>
      </c>
      <c r="W281" t="s">
        <v>463</v>
      </c>
      <c r="X281" t="s">
        <v>45</v>
      </c>
      <c r="Y281" t="s">
        <v>234</v>
      </c>
      <c r="Z281" t="s">
        <v>47</v>
      </c>
      <c r="AA281"/>
      <c r="AB281"/>
      <c r="AC281"/>
      <c r="AD281" t="s">
        <v>456</v>
      </c>
    </row>
    <row r="282" spans="1:30">
      <c r="A282">
        <v>2110060268</v>
      </c>
      <c r="B282" t="s">
        <v>30</v>
      </c>
      <c r="C282" t="s">
        <v>31</v>
      </c>
      <c r="D282" t="s">
        <v>32</v>
      </c>
      <c r="E282" t="s">
        <v>93</v>
      </c>
      <c r="F282" t="s">
        <v>194</v>
      </c>
      <c r="G282" t="s">
        <v>195</v>
      </c>
      <c r="H282" t="s">
        <v>50</v>
      </c>
      <c r="I282" t="s">
        <v>355</v>
      </c>
      <c r="J282" t="s">
        <v>486</v>
      </c>
      <c r="K282" t="str">
        <f>"9135012114024"</f>
        <v>0</v>
      </c>
      <c r="L282">
        <v>39500</v>
      </c>
      <c r="M282"/>
      <c r="N282" t="s">
        <v>38</v>
      </c>
      <c r="O282" t="s">
        <v>38</v>
      </c>
      <c r="P282" t="s">
        <v>53</v>
      </c>
      <c r="Q282" t="s">
        <v>38</v>
      </c>
      <c r="R282" t="s">
        <v>38</v>
      </c>
      <c r="S282" t="s">
        <v>42</v>
      </c>
      <c r="T282" t="s">
        <v>42</v>
      </c>
      <c r="U282" t="s">
        <v>463</v>
      </c>
      <c r="V282" t="s">
        <v>395</v>
      </c>
      <c r="W282" t="s">
        <v>463</v>
      </c>
      <c r="X282" t="s">
        <v>45</v>
      </c>
      <c r="Y282" t="s">
        <v>234</v>
      </c>
      <c r="Z282" t="s">
        <v>47</v>
      </c>
      <c r="AA282"/>
      <c r="AB282"/>
      <c r="AC282"/>
      <c r="AD282" t="s">
        <v>456</v>
      </c>
    </row>
    <row r="283" spans="1:30">
      <c r="A283">
        <v>2110060269</v>
      </c>
      <c r="B283" t="s">
        <v>30</v>
      </c>
      <c r="C283" t="s">
        <v>31</v>
      </c>
      <c r="D283" t="s">
        <v>32</v>
      </c>
      <c r="E283" t="s">
        <v>93</v>
      </c>
      <c r="F283" t="s">
        <v>194</v>
      </c>
      <c r="G283" t="s">
        <v>195</v>
      </c>
      <c r="H283" t="s">
        <v>50</v>
      </c>
      <c r="I283" t="s">
        <v>355</v>
      </c>
      <c r="J283" t="s">
        <v>486</v>
      </c>
      <c r="K283" t="str">
        <f>"9135012114104"</f>
        <v>0</v>
      </c>
      <c r="L283">
        <v>39500</v>
      </c>
      <c r="M283"/>
      <c r="N283" t="s">
        <v>38</v>
      </c>
      <c r="O283" t="s">
        <v>38</v>
      </c>
      <c r="P283" t="s">
        <v>53</v>
      </c>
      <c r="Q283" t="s">
        <v>38</v>
      </c>
      <c r="R283" t="s">
        <v>38</v>
      </c>
      <c r="S283" t="s">
        <v>42</v>
      </c>
      <c r="T283" t="s">
        <v>42</v>
      </c>
      <c r="U283" t="s">
        <v>463</v>
      </c>
      <c r="V283" t="s">
        <v>395</v>
      </c>
      <c r="W283" t="s">
        <v>463</v>
      </c>
      <c r="X283" t="s">
        <v>45</v>
      </c>
      <c r="Y283" t="s">
        <v>234</v>
      </c>
      <c r="Z283" t="s">
        <v>47</v>
      </c>
      <c r="AA283"/>
      <c r="AB283"/>
      <c r="AC283"/>
      <c r="AD283" t="s">
        <v>456</v>
      </c>
    </row>
    <row r="284" spans="1:30">
      <c r="A284">
        <v>2110060270</v>
      </c>
      <c r="B284" t="s">
        <v>30</v>
      </c>
      <c r="C284" t="s">
        <v>31</v>
      </c>
      <c r="D284" t="s">
        <v>32</v>
      </c>
      <c r="E284" t="s">
        <v>93</v>
      </c>
      <c r="F284" t="s">
        <v>194</v>
      </c>
      <c r="G284" t="s">
        <v>195</v>
      </c>
      <c r="H284" t="s">
        <v>50</v>
      </c>
      <c r="I284" t="s">
        <v>355</v>
      </c>
      <c r="J284" t="s">
        <v>486</v>
      </c>
      <c r="K284" t="str">
        <f>"9135012114098"</f>
        <v>0</v>
      </c>
      <c r="L284">
        <v>39500</v>
      </c>
      <c r="M284"/>
      <c r="N284" t="s">
        <v>38</v>
      </c>
      <c r="O284" t="s">
        <v>38</v>
      </c>
      <c r="P284" t="s">
        <v>53</v>
      </c>
      <c r="Q284" t="s">
        <v>38</v>
      </c>
      <c r="R284" t="s">
        <v>38</v>
      </c>
      <c r="S284" t="s">
        <v>42</v>
      </c>
      <c r="T284" t="s">
        <v>42</v>
      </c>
      <c r="U284" t="s">
        <v>463</v>
      </c>
      <c r="V284" t="s">
        <v>395</v>
      </c>
      <c r="W284" t="s">
        <v>463</v>
      </c>
      <c r="X284" t="s">
        <v>45</v>
      </c>
      <c r="Y284" t="s">
        <v>234</v>
      </c>
      <c r="Z284" t="s">
        <v>47</v>
      </c>
      <c r="AA284"/>
      <c r="AB284"/>
      <c r="AC284"/>
      <c r="AD284" t="s">
        <v>456</v>
      </c>
    </row>
    <row r="285" spans="1:30">
      <c r="A285">
        <v>2110060272</v>
      </c>
      <c r="B285" t="s">
        <v>30</v>
      </c>
      <c r="C285" t="s">
        <v>31</v>
      </c>
      <c r="D285" t="s">
        <v>32</v>
      </c>
      <c r="E285" t="s">
        <v>93</v>
      </c>
      <c r="F285" t="s">
        <v>194</v>
      </c>
      <c r="G285" t="s">
        <v>195</v>
      </c>
      <c r="H285" t="s">
        <v>50</v>
      </c>
      <c r="I285" t="s">
        <v>355</v>
      </c>
      <c r="J285" t="s">
        <v>486</v>
      </c>
      <c r="K285" t="str">
        <f>"9135012114133"</f>
        <v>0</v>
      </c>
      <c r="L285">
        <v>39500</v>
      </c>
      <c r="M285"/>
      <c r="N285" t="s">
        <v>38</v>
      </c>
      <c r="O285" t="s">
        <v>38</v>
      </c>
      <c r="P285" t="s">
        <v>53</v>
      </c>
      <c r="Q285" t="s">
        <v>38</v>
      </c>
      <c r="R285" t="s">
        <v>38</v>
      </c>
      <c r="S285" t="s">
        <v>42</v>
      </c>
      <c r="T285" t="s">
        <v>42</v>
      </c>
      <c r="U285" t="s">
        <v>463</v>
      </c>
      <c r="V285" t="s">
        <v>395</v>
      </c>
      <c r="W285" t="s">
        <v>463</v>
      </c>
      <c r="X285" t="s">
        <v>45</v>
      </c>
      <c r="Y285" t="s">
        <v>234</v>
      </c>
      <c r="Z285" t="s">
        <v>47</v>
      </c>
      <c r="AA285"/>
      <c r="AB285"/>
      <c r="AC285"/>
      <c r="AD285" t="s">
        <v>456</v>
      </c>
    </row>
    <row r="286" spans="1:30">
      <c r="A286">
        <v>2110060273</v>
      </c>
      <c r="B286" t="s">
        <v>30</v>
      </c>
      <c r="C286" t="s">
        <v>31</v>
      </c>
      <c r="D286" t="s">
        <v>32</v>
      </c>
      <c r="E286" t="s">
        <v>93</v>
      </c>
      <c r="F286" t="s">
        <v>194</v>
      </c>
      <c r="G286" t="s">
        <v>195</v>
      </c>
      <c r="H286" t="s">
        <v>50</v>
      </c>
      <c r="I286" t="s">
        <v>355</v>
      </c>
      <c r="J286" t="s">
        <v>486</v>
      </c>
      <c r="K286" t="str">
        <f>"9135012114078"</f>
        <v>0</v>
      </c>
      <c r="L286">
        <v>39500</v>
      </c>
      <c r="M286"/>
      <c r="N286" t="s">
        <v>38</v>
      </c>
      <c r="O286" t="s">
        <v>38</v>
      </c>
      <c r="P286" t="s">
        <v>53</v>
      </c>
      <c r="Q286" t="s">
        <v>38</v>
      </c>
      <c r="R286" t="s">
        <v>38</v>
      </c>
      <c r="S286" t="s">
        <v>42</v>
      </c>
      <c r="T286" t="s">
        <v>42</v>
      </c>
      <c r="U286" t="s">
        <v>463</v>
      </c>
      <c r="V286" t="s">
        <v>395</v>
      </c>
      <c r="W286" t="s">
        <v>463</v>
      </c>
      <c r="X286" t="s">
        <v>45</v>
      </c>
      <c r="Y286" t="s">
        <v>234</v>
      </c>
      <c r="Z286" t="s">
        <v>47</v>
      </c>
      <c r="AA286"/>
      <c r="AB286"/>
      <c r="AC286"/>
      <c r="AD286" t="s">
        <v>456</v>
      </c>
    </row>
    <row r="287" spans="1:30">
      <c r="A287">
        <v>2110060274</v>
      </c>
      <c r="B287" t="s">
        <v>30</v>
      </c>
      <c r="C287" t="s">
        <v>31</v>
      </c>
      <c r="D287" t="s">
        <v>32</v>
      </c>
      <c r="E287" t="s">
        <v>93</v>
      </c>
      <c r="F287" t="s">
        <v>194</v>
      </c>
      <c r="G287" t="s">
        <v>195</v>
      </c>
      <c r="H287" t="s">
        <v>50</v>
      </c>
      <c r="I287" t="s">
        <v>355</v>
      </c>
      <c r="J287" t="s">
        <v>486</v>
      </c>
      <c r="K287" t="str">
        <f>"9135012114036"</f>
        <v>0</v>
      </c>
      <c r="L287">
        <v>39500</v>
      </c>
      <c r="M287"/>
      <c r="N287" t="s">
        <v>38</v>
      </c>
      <c r="O287" t="s">
        <v>38</v>
      </c>
      <c r="P287" t="s">
        <v>53</v>
      </c>
      <c r="Q287" t="s">
        <v>38</v>
      </c>
      <c r="R287" t="s">
        <v>38</v>
      </c>
      <c r="S287" t="s">
        <v>42</v>
      </c>
      <c r="T287" t="s">
        <v>42</v>
      </c>
      <c r="U287" t="s">
        <v>463</v>
      </c>
      <c r="V287" t="s">
        <v>395</v>
      </c>
      <c r="W287" t="s">
        <v>463</v>
      </c>
      <c r="X287" t="s">
        <v>45</v>
      </c>
      <c r="Y287" t="s">
        <v>234</v>
      </c>
      <c r="Z287" t="s">
        <v>47</v>
      </c>
      <c r="AA287"/>
      <c r="AB287"/>
      <c r="AC287"/>
      <c r="AD287" t="s">
        <v>456</v>
      </c>
    </row>
    <row r="288" spans="1:30">
      <c r="A288">
        <v>2110060275</v>
      </c>
      <c r="B288" t="s">
        <v>30</v>
      </c>
      <c r="C288" t="s">
        <v>31</v>
      </c>
      <c r="D288" t="s">
        <v>32</v>
      </c>
      <c r="E288" t="s">
        <v>93</v>
      </c>
      <c r="F288" t="s">
        <v>194</v>
      </c>
      <c r="G288" t="s">
        <v>195</v>
      </c>
      <c r="H288" t="s">
        <v>50</v>
      </c>
      <c r="I288" t="s">
        <v>355</v>
      </c>
      <c r="J288" t="s">
        <v>486</v>
      </c>
      <c r="K288" t="str">
        <f>"9135012114121"</f>
        <v>0</v>
      </c>
      <c r="L288">
        <v>39500</v>
      </c>
      <c r="M288"/>
      <c r="N288" t="s">
        <v>38</v>
      </c>
      <c r="O288" t="s">
        <v>38</v>
      </c>
      <c r="P288" t="s">
        <v>53</v>
      </c>
      <c r="Q288" t="s">
        <v>38</v>
      </c>
      <c r="R288" t="s">
        <v>38</v>
      </c>
      <c r="S288" t="s">
        <v>42</v>
      </c>
      <c r="T288" t="s">
        <v>42</v>
      </c>
      <c r="U288" t="s">
        <v>463</v>
      </c>
      <c r="V288" t="s">
        <v>395</v>
      </c>
      <c r="W288" t="s">
        <v>463</v>
      </c>
      <c r="X288" t="s">
        <v>45</v>
      </c>
      <c r="Y288" t="s">
        <v>234</v>
      </c>
      <c r="Z288" t="s">
        <v>47</v>
      </c>
      <c r="AA288"/>
      <c r="AB288"/>
      <c r="AC288"/>
      <c r="AD288" t="s">
        <v>456</v>
      </c>
    </row>
    <row r="289" spans="1:30">
      <c r="A289">
        <v>2110060276</v>
      </c>
      <c r="B289" t="s">
        <v>30</v>
      </c>
      <c r="C289" t="s">
        <v>31</v>
      </c>
      <c r="D289" t="s">
        <v>32</v>
      </c>
      <c r="E289" t="s">
        <v>93</v>
      </c>
      <c r="F289" t="s">
        <v>246</v>
      </c>
      <c r="G289" t="s">
        <v>247</v>
      </c>
      <c r="H289" t="s">
        <v>50</v>
      </c>
      <c r="I289" t="s">
        <v>427</v>
      </c>
      <c r="J289" t="s">
        <v>483</v>
      </c>
      <c r="K289" t="str">
        <f>"6000014984"</f>
        <v>0</v>
      </c>
      <c r="L289">
        <v>36900</v>
      </c>
      <c r="M289"/>
      <c r="N289" t="s">
        <v>38</v>
      </c>
      <c r="O289" t="s">
        <v>38</v>
      </c>
      <c r="P289" t="s">
        <v>53</v>
      </c>
      <c r="Q289" t="s">
        <v>38</v>
      </c>
      <c r="R289" t="s">
        <v>38</v>
      </c>
      <c r="S289" t="s">
        <v>42</v>
      </c>
      <c r="T289" t="s">
        <v>42</v>
      </c>
      <c r="U289" t="s">
        <v>463</v>
      </c>
      <c r="V289" t="s">
        <v>395</v>
      </c>
      <c r="W289" t="s">
        <v>463</v>
      </c>
      <c r="X289" t="s">
        <v>45</v>
      </c>
      <c r="Y289" t="s">
        <v>234</v>
      </c>
      <c r="Z289" t="s">
        <v>47</v>
      </c>
      <c r="AA289"/>
      <c r="AB289"/>
      <c r="AC289"/>
      <c r="AD289" t="s">
        <v>456</v>
      </c>
    </row>
    <row r="290" spans="1:30">
      <c r="A290">
        <v>2110060277</v>
      </c>
      <c r="B290" t="s">
        <v>30</v>
      </c>
      <c r="C290" t="s">
        <v>31</v>
      </c>
      <c r="D290" t="s">
        <v>32</v>
      </c>
      <c r="E290" t="s">
        <v>93</v>
      </c>
      <c r="F290" t="s">
        <v>246</v>
      </c>
      <c r="G290" t="s">
        <v>247</v>
      </c>
      <c r="H290" t="s">
        <v>50</v>
      </c>
      <c r="I290" t="s">
        <v>427</v>
      </c>
      <c r="J290" t="s">
        <v>483</v>
      </c>
      <c r="K290" t="str">
        <f>"6000015061"</f>
        <v>0</v>
      </c>
      <c r="L290">
        <v>36900</v>
      </c>
      <c r="M290"/>
      <c r="N290" t="s">
        <v>38</v>
      </c>
      <c r="O290" t="s">
        <v>38</v>
      </c>
      <c r="P290" t="s">
        <v>53</v>
      </c>
      <c r="Q290" t="s">
        <v>38</v>
      </c>
      <c r="R290" t="s">
        <v>38</v>
      </c>
      <c r="S290" t="s">
        <v>42</v>
      </c>
      <c r="T290" t="s">
        <v>42</v>
      </c>
      <c r="U290" t="s">
        <v>463</v>
      </c>
      <c r="V290" t="s">
        <v>395</v>
      </c>
      <c r="W290" t="s">
        <v>463</v>
      </c>
      <c r="X290" t="s">
        <v>45</v>
      </c>
      <c r="Y290" t="s">
        <v>234</v>
      </c>
      <c r="Z290" t="s">
        <v>47</v>
      </c>
      <c r="AA290"/>
      <c r="AB290"/>
      <c r="AC290"/>
      <c r="AD290" t="s">
        <v>456</v>
      </c>
    </row>
    <row r="291" spans="1:30">
      <c r="A291">
        <v>2110060278</v>
      </c>
      <c r="B291" t="s">
        <v>30</v>
      </c>
      <c r="C291" t="s">
        <v>31</v>
      </c>
      <c r="D291" t="s">
        <v>32</v>
      </c>
      <c r="E291" t="s">
        <v>93</v>
      </c>
      <c r="F291" t="s">
        <v>166</v>
      </c>
      <c r="G291" t="s">
        <v>167</v>
      </c>
      <c r="H291" t="s">
        <v>35</v>
      </c>
      <c r="I291" t="s">
        <v>311</v>
      </c>
      <c r="J291" t="s">
        <v>487</v>
      </c>
      <c r="K291" t="str">
        <f>"DE7580A159"</f>
        <v>0</v>
      </c>
      <c r="L291">
        <v>529100</v>
      </c>
      <c r="M291"/>
      <c r="N291" t="s">
        <v>38</v>
      </c>
      <c r="O291" t="s">
        <v>38</v>
      </c>
      <c r="P291" t="s">
        <v>53</v>
      </c>
      <c r="Q291" t="s">
        <v>38</v>
      </c>
      <c r="R291" t="s">
        <v>38</v>
      </c>
      <c r="S291" t="s">
        <v>42</v>
      </c>
      <c r="T291" t="s">
        <v>42</v>
      </c>
      <c r="U291" t="s">
        <v>463</v>
      </c>
      <c r="V291" t="s">
        <v>395</v>
      </c>
      <c r="W291" t="s">
        <v>463</v>
      </c>
      <c r="X291" t="s">
        <v>45</v>
      </c>
      <c r="Y291" t="s">
        <v>234</v>
      </c>
      <c r="Z291" t="s">
        <v>47</v>
      </c>
      <c r="AA291"/>
      <c r="AB291"/>
      <c r="AC291"/>
      <c r="AD291" t="s">
        <v>456</v>
      </c>
    </row>
    <row r="292" spans="1:30">
      <c r="A292">
        <v>2110060279</v>
      </c>
      <c r="B292" t="s">
        <v>30</v>
      </c>
      <c r="C292" t="s">
        <v>31</v>
      </c>
      <c r="D292" t="s">
        <v>32</v>
      </c>
      <c r="E292" t="s">
        <v>93</v>
      </c>
      <c r="F292" t="s">
        <v>194</v>
      </c>
      <c r="G292" t="s">
        <v>195</v>
      </c>
      <c r="H292" t="s">
        <v>50</v>
      </c>
      <c r="I292" t="s">
        <v>100</v>
      </c>
      <c r="J292" t="s">
        <v>488</v>
      </c>
      <c r="K292" t="str">
        <f>"XD20180619b091"</f>
        <v>0</v>
      </c>
      <c r="L292">
        <v>35000</v>
      </c>
      <c r="M292"/>
      <c r="N292" t="s">
        <v>38</v>
      </c>
      <c r="O292" t="s">
        <v>38</v>
      </c>
      <c r="P292" t="s">
        <v>53</v>
      </c>
      <c r="Q292" t="s">
        <v>38</v>
      </c>
      <c r="R292" t="s">
        <v>38</v>
      </c>
      <c r="S292" t="s">
        <v>42</v>
      </c>
      <c r="T292" t="s">
        <v>42</v>
      </c>
      <c r="U292" t="s">
        <v>463</v>
      </c>
      <c r="V292" t="s">
        <v>395</v>
      </c>
      <c r="W292" t="s">
        <v>463</v>
      </c>
      <c r="X292" t="s">
        <v>45</v>
      </c>
      <c r="Y292" t="s">
        <v>234</v>
      </c>
      <c r="Z292" t="s">
        <v>47</v>
      </c>
      <c r="AA292"/>
      <c r="AB292"/>
      <c r="AC292"/>
      <c r="AD292" t="s">
        <v>456</v>
      </c>
    </row>
    <row r="293" spans="1:30">
      <c r="A293">
        <v>2110060281</v>
      </c>
      <c r="B293" t="s">
        <v>30</v>
      </c>
      <c r="C293" t="s">
        <v>31</v>
      </c>
      <c r="D293" t="s">
        <v>32</v>
      </c>
      <c r="E293" t="s">
        <v>93</v>
      </c>
      <c r="F293" t="s">
        <v>194</v>
      </c>
      <c r="G293" t="s">
        <v>195</v>
      </c>
      <c r="H293" t="s">
        <v>50</v>
      </c>
      <c r="I293" t="s">
        <v>355</v>
      </c>
      <c r="J293" t="s">
        <v>486</v>
      </c>
      <c r="K293" t="str">
        <f>"9135012113937"</f>
        <v>0</v>
      </c>
      <c r="L293">
        <v>39500</v>
      </c>
      <c r="M293"/>
      <c r="N293" t="s">
        <v>38</v>
      </c>
      <c r="O293" t="s">
        <v>38</v>
      </c>
      <c r="P293" t="s">
        <v>53</v>
      </c>
      <c r="Q293" t="s">
        <v>38</v>
      </c>
      <c r="R293" t="s">
        <v>38</v>
      </c>
      <c r="S293" t="s">
        <v>42</v>
      </c>
      <c r="T293" t="s">
        <v>42</v>
      </c>
      <c r="U293" t="s">
        <v>463</v>
      </c>
      <c r="V293" t="s">
        <v>395</v>
      </c>
      <c r="W293" t="s">
        <v>463</v>
      </c>
      <c r="X293" t="s">
        <v>45</v>
      </c>
      <c r="Y293" t="s">
        <v>234</v>
      </c>
      <c r="Z293" t="s">
        <v>47</v>
      </c>
      <c r="AA293"/>
      <c r="AB293"/>
      <c r="AC293"/>
      <c r="AD293" t="s">
        <v>456</v>
      </c>
    </row>
    <row r="294" spans="1:30">
      <c r="A294">
        <v>2110060282</v>
      </c>
      <c r="B294" t="s">
        <v>30</v>
      </c>
      <c r="C294" t="s">
        <v>31</v>
      </c>
      <c r="D294" t="s">
        <v>32</v>
      </c>
      <c r="E294" t="s">
        <v>93</v>
      </c>
      <c r="F294" t="s">
        <v>194</v>
      </c>
      <c r="G294" t="s">
        <v>195</v>
      </c>
      <c r="H294" t="s">
        <v>50</v>
      </c>
      <c r="I294" t="s">
        <v>355</v>
      </c>
      <c r="J294" t="s">
        <v>486</v>
      </c>
      <c r="K294" t="str">
        <f>"9135012114016"</f>
        <v>0</v>
      </c>
      <c r="L294">
        <v>39500</v>
      </c>
      <c r="M294"/>
      <c r="N294" t="s">
        <v>38</v>
      </c>
      <c r="O294" t="s">
        <v>38</v>
      </c>
      <c r="P294" t="s">
        <v>53</v>
      </c>
      <c r="Q294" t="s">
        <v>38</v>
      </c>
      <c r="R294" t="s">
        <v>38</v>
      </c>
      <c r="S294" t="s">
        <v>42</v>
      </c>
      <c r="T294" t="s">
        <v>42</v>
      </c>
      <c r="U294" t="s">
        <v>463</v>
      </c>
      <c r="V294" t="s">
        <v>395</v>
      </c>
      <c r="W294" t="s">
        <v>463</v>
      </c>
      <c r="X294" t="s">
        <v>45</v>
      </c>
      <c r="Y294" t="s">
        <v>234</v>
      </c>
      <c r="Z294" t="s">
        <v>47</v>
      </c>
      <c r="AA294"/>
      <c r="AB294"/>
      <c r="AC294"/>
      <c r="AD294" t="s">
        <v>456</v>
      </c>
    </row>
    <row r="295" spans="1:30">
      <c r="A295">
        <v>2110060283</v>
      </c>
      <c r="B295" t="s">
        <v>30</v>
      </c>
      <c r="C295" t="s">
        <v>31</v>
      </c>
      <c r="D295" t="s">
        <v>32</v>
      </c>
      <c r="E295" t="s">
        <v>93</v>
      </c>
      <c r="F295" t="s">
        <v>194</v>
      </c>
      <c r="G295" t="s">
        <v>195</v>
      </c>
      <c r="H295" t="s">
        <v>50</v>
      </c>
      <c r="I295" t="s">
        <v>355</v>
      </c>
      <c r="J295" t="s">
        <v>486</v>
      </c>
      <c r="K295" t="str">
        <f>"9135012113962"</f>
        <v>0</v>
      </c>
      <c r="L295">
        <v>39500</v>
      </c>
      <c r="M295"/>
      <c r="N295" t="s">
        <v>38</v>
      </c>
      <c r="O295" t="s">
        <v>38</v>
      </c>
      <c r="P295" t="s">
        <v>53</v>
      </c>
      <c r="Q295" t="s">
        <v>38</v>
      </c>
      <c r="R295" t="s">
        <v>38</v>
      </c>
      <c r="S295" t="s">
        <v>42</v>
      </c>
      <c r="T295" t="s">
        <v>42</v>
      </c>
      <c r="U295" t="s">
        <v>463</v>
      </c>
      <c r="V295" t="s">
        <v>395</v>
      </c>
      <c r="W295" t="s">
        <v>463</v>
      </c>
      <c r="X295" t="s">
        <v>45</v>
      </c>
      <c r="Y295" t="s">
        <v>234</v>
      </c>
      <c r="Z295" t="s">
        <v>47</v>
      </c>
      <c r="AA295"/>
      <c r="AB295"/>
      <c r="AC295"/>
      <c r="AD295" t="s">
        <v>456</v>
      </c>
    </row>
    <row r="296" spans="1:30">
      <c r="A296">
        <v>2110060284</v>
      </c>
      <c r="B296" t="s">
        <v>30</v>
      </c>
      <c r="C296" t="s">
        <v>31</v>
      </c>
      <c r="D296" t="s">
        <v>32</v>
      </c>
      <c r="E296" t="s">
        <v>93</v>
      </c>
      <c r="F296" t="s">
        <v>194</v>
      </c>
      <c r="G296" t="s">
        <v>195</v>
      </c>
      <c r="H296" t="s">
        <v>50</v>
      </c>
      <c r="I296" t="s">
        <v>355</v>
      </c>
      <c r="J296" t="s">
        <v>486</v>
      </c>
      <c r="K296" t="str">
        <f>"9135012113934"</f>
        <v>0</v>
      </c>
      <c r="L296">
        <v>39500</v>
      </c>
      <c r="M296"/>
      <c r="N296" t="s">
        <v>38</v>
      </c>
      <c r="O296" t="s">
        <v>38</v>
      </c>
      <c r="P296" t="s">
        <v>53</v>
      </c>
      <c r="Q296" t="s">
        <v>38</v>
      </c>
      <c r="R296" t="s">
        <v>38</v>
      </c>
      <c r="S296" t="s">
        <v>42</v>
      </c>
      <c r="T296" t="s">
        <v>42</v>
      </c>
      <c r="U296" t="s">
        <v>463</v>
      </c>
      <c r="V296" t="s">
        <v>395</v>
      </c>
      <c r="W296" t="s">
        <v>463</v>
      </c>
      <c r="X296" t="s">
        <v>45</v>
      </c>
      <c r="Y296" t="s">
        <v>234</v>
      </c>
      <c r="Z296" t="s">
        <v>47</v>
      </c>
      <c r="AA296"/>
      <c r="AB296"/>
      <c r="AC296"/>
      <c r="AD296" t="s">
        <v>456</v>
      </c>
    </row>
    <row r="297" spans="1:30">
      <c r="A297">
        <v>2110060285</v>
      </c>
      <c r="B297" t="s">
        <v>30</v>
      </c>
      <c r="C297" t="s">
        <v>31</v>
      </c>
      <c r="D297" t="s">
        <v>32</v>
      </c>
      <c r="E297" t="s">
        <v>93</v>
      </c>
      <c r="F297" t="s">
        <v>194</v>
      </c>
      <c r="G297" t="s">
        <v>195</v>
      </c>
      <c r="H297" t="s">
        <v>50</v>
      </c>
      <c r="I297" t="s">
        <v>355</v>
      </c>
      <c r="J297" t="s">
        <v>486</v>
      </c>
      <c r="K297" t="str">
        <f>"9135012114011"</f>
        <v>0</v>
      </c>
      <c r="L297">
        <v>39500</v>
      </c>
      <c r="M297"/>
      <c r="N297" t="s">
        <v>38</v>
      </c>
      <c r="O297" t="s">
        <v>38</v>
      </c>
      <c r="P297" t="s">
        <v>53</v>
      </c>
      <c r="Q297" t="s">
        <v>38</v>
      </c>
      <c r="R297" t="s">
        <v>38</v>
      </c>
      <c r="S297" t="s">
        <v>42</v>
      </c>
      <c r="T297" t="s">
        <v>42</v>
      </c>
      <c r="U297" t="s">
        <v>463</v>
      </c>
      <c r="V297" t="s">
        <v>395</v>
      </c>
      <c r="W297" t="s">
        <v>463</v>
      </c>
      <c r="X297" t="s">
        <v>45</v>
      </c>
      <c r="Y297" t="s">
        <v>234</v>
      </c>
      <c r="Z297" t="s">
        <v>47</v>
      </c>
      <c r="AA297"/>
      <c r="AB297"/>
      <c r="AC297"/>
      <c r="AD297" t="s">
        <v>456</v>
      </c>
    </row>
    <row r="298" spans="1:30">
      <c r="A298">
        <v>2110060286</v>
      </c>
      <c r="B298" t="s">
        <v>30</v>
      </c>
      <c r="C298" t="s">
        <v>31</v>
      </c>
      <c r="D298" t="s">
        <v>32</v>
      </c>
      <c r="E298" t="s">
        <v>93</v>
      </c>
      <c r="F298" t="s">
        <v>194</v>
      </c>
      <c r="G298" t="s">
        <v>195</v>
      </c>
      <c r="H298" t="s">
        <v>50</v>
      </c>
      <c r="I298" t="s">
        <v>355</v>
      </c>
      <c r="J298" t="s">
        <v>486</v>
      </c>
      <c r="K298" t="str">
        <f>"9135012114144"</f>
        <v>0</v>
      </c>
      <c r="L298">
        <v>39500</v>
      </c>
      <c r="M298"/>
      <c r="N298" t="s">
        <v>38</v>
      </c>
      <c r="O298" t="s">
        <v>38</v>
      </c>
      <c r="P298" t="s">
        <v>53</v>
      </c>
      <c r="Q298" t="s">
        <v>38</v>
      </c>
      <c r="R298" t="s">
        <v>38</v>
      </c>
      <c r="S298" t="s">
        <v>42</v>
      </c>
      <c r="T298" t="s">
        <v>42</v>
      </c>
      <c r="U298" t="s">
        <v>463</v>
      </c>
      <c r="V298" t="s">
        <v>395</v>
      </c>
      <c r="W298" t="s">
        <v>463</v>
      </c>
      <c r="X298" t="s">
        <v>45</v>
      </c>
      <c r="Y298" t="s">
        <v>234</v>
      </c>
      <c r="Z298" t="s">
        <v>47</v>
      </c>
      <c r="AA298"/>
      <c r="AB298"/>
      <c r="AC298"/>
      <c r="AD298" t="s">
        <v>456</v>
      </c>
    </row>
    <row r="299" spans="1:30">
      <c r="A299">
        <v>2110060287</v>
      </c>
      <c r="B299" t="s">
        <v>30</v>
      </c>
      <c r="C299" t="s">
        <v>31</v>
      </c>
      <c r="D299" t="s">
        <v>32</v>
      </c>
      <c r="E299" t="s">
        <v>93</v>
      </c>
      <c r="F299" t="s">
        <v>194</v>
      </c>
      <c r="G299" t="s">
        <v>195</v>
      </c>
      <c r="H299" t="s">
        <v>50</v>
      </c>
      <c r="I299" t="s">
        <v>355</v>
      </c>
      <c r="J299" t="s">
        <v>486</v>
      </c>
      <c r="K299" t="str">
        <f>"9135012114110"</f>
        <v>0</v>
      </c>
      <c r="L299">
        <v>39500</v>
      </c>
      <c r="M299"/>
      <c r="N299" t="s">
        <v>38</v>
      </c>
      <c r="O299" t="s">
        <v>38</v>
      </c>
      <c r="P299" t="s">
        <v>53</v>
      </c>
      <c r="Q299" t="s">
        <v>38</v>
      </c>
      <c r="R299" t="s">
        <v>38</v>
      </c>
      <c r="S299" t="s">
        <v>42</v>
      </c>
      <c r="T299" t="s">
        <v>42</v>
      </c>
      <c r="U299" t="s">
        <v>463</v>
      </c>
      <c r="V299" t="s">
        <v>395</v>
      </c>
      <c r="W299" t="s">
        <v>463</v>
      </c>
      <c r="X299" t="s">
        <v>45</v>
      </c>
      <c r="Y299" t="s">
        <v>234</v>
      </c>
      <c r="Z299" t="s">
        <v>47</v>
      </c>
      <c r="AA299"/>
      <c r="AB299"/>
      <c r="AC299"/>
      <c r="AD299" t="s">
        <v>456</v>
      </c>
    </row>
    <row r="300" spans="1:30">
      <c r="A300">
        <v>2110060288</v>
      </c>
      <c r="B300" t="s">
        <v>30</v>
      </c>
      <c r="C300" t="s">
        <v>31</v>
      </c>
      <c r="D300" t="s">
        <v>32</v>
      </c>
      <c r="E300" t="s">
        <v>93</v>
      </c>
      <c r="F300" t="s">
        <v>194</v>
      </c>
      <c r="G300" t="s">
        <v>195</v>
      </c>
      <c r="H300" t="s">
        <v>50</v>
      </c>
      <c r="I300" t="s">
        <v>355</v>
      </c>
      <c r="J300" t="s">
        <v>486</v>
      </c>
      <c r="K300" t="str">
        <f>"9135012114107"</f>
        <v>0</v>
      </c>
      <c r="L300">
        <v>39500</v>
      </c>
      <c r="M300"/>
      <c r="N300" t="s">
        <v>38</v>
      </c>
      <c r="O300" t="s">
        <v>38</v>
      </c>
      <c r="P300" t="s">
        <v>53</v>
      </c>
      <c r="Q300" t="s">
        <v>38</v>
      </c>
      <c r="R300" t="s">
        <v>38</v>
      </c>
      <c r="S300" t="s">
        <v>42</v>
      </c>
      <c r="T300" t="s">
        <v>42</v>
      </c>
      <c r="U300" t="s">
        <v>463</v>
      </c>
      <c r="V300" t="s">
        <v>395</v>
      </c>
      <c r="W300" t="s">
        <v>463</v>
      </c>
      <c r="X300" t="s">
        <v>45</v>
      </c>
      <c r="Y300" t="s">
        <v>234</v>
      </c>
      <c r="Z300" t="s">
        <v>47</v>
      </c>
      <c r="AA300"/>
      <c r="AB300"/>
      <c r="AC300"/>
      <c r="AD300" t="s">
        <v>456</v>
      </c>
    </row>
    <row r="301" spans="1:30">
      <c r="A301">
        <v>2110060290</v>
      </c>
      <c r="B301" t="s">
        <v>30</v>
      </c>
      <c r="C301" t="s">
        <v>31</v>
      </c>
      <c r="D301" t="s">
        <v>32</v>
      </c>
      <c r="E301" t="s">
        <v>93</v>
      </c>
      <c r="F301" t="s">
        <v>194</v>
      </c>
      <c r="G301" t="s">
        <v>195</v>
      </c>
      <c r="H301" t="s">
        <v>50</v>
      </c>
      <c r="I301" t="s">
        <v>355</v>
      </c>
      <c r="J301" t="s">
        <v>486</v>
      </c>
      <c r="K301" t="str">
        <f>"9135012114061"</f>
        <v>0</v>
      </c>
      <c r="L301">
        <v>39500</v>
      </c>
      <c r="M301"/>
      <c r="N301" t="s">
        <v>38</v>
      </c>
      <c r="O301" t="s">
        <v>38</v>
      </c>
      <c r="P301" t="s">
        <v>53</v>
      </c>
      <c r="Q301" t="s">
        <v>38</v>
      </c>
      <c r="R301" t="s">
        <v>38</v>
      </c>
      <c r="S301" t="s">
        <v>42</v>
      </c>
      <c r="T301" t="s">
        <v>42</v>
      </c>
      <c r="U301" t="s">
        <v>463</v>
      </c>
      <c r="V301" t="s">
        <v>395</v>
      </c>
      <c r="W301" t="s">
        <v>463</v>
      </c>
      <c r="X301" t="s">
        <v>45</v>
      </c>
      <c r="Y301" t="s">
        <v>444</v>
      </c>
      <c r="Z301" t="s">
        <v>47</v>
      </c>
      <c r="AA301"/>
      <c r="AB301"/>
      <c r="AC301"/>
      <c r="AD301" t="s">
        <v>456</v>
      </c>
    </row>
    <row r="302" spans="1:30">
      <c r="A302">
        <v>2110060291</v>
      </c>
      <c r="B302" t="s">
        <v>30</v>
      </c>
      <c r="C302" t="s">
        <v>31</v>
      </c>
      <c r="D302" t="s">
        <v>32</v>
      </c>
      <c r="E302" t="s">
        <v>93</v>
      </c>
      <c r="F302" t="s">
        <v>194</v>
      </c>
      <c r="G302" t="s">
        <v>195</v>
      </c>
      <c r="H302" t="s">
        <v>50</v>
      </c>
      <c r="I302" t="s">
        <v>355</v>
      </c>
      <c r="J302" t="s">
        <v>486</v>
      </c>
      <c r="K302" t="str">
        <f>"9135012114038"</f>
        <v>0</v>
      </c>
      <c r="L302">
        <v>39500</v>
      </c>
      <c r="M302"/>
      <c r="N302" t="s">
        <v>38</v>
      </c>
      <c r="O302" t="s">
        <v>38</v>
      </c>
      <c r="P302" t="s">
        <v>53</v>
      </c>
      <c r="Q302" t="s">
        <v>38</v>
      </c>
      <c r="R302" t="s">
        <v>38</v>
      </c>
      <c r="S302" t="s">
        <v>42</v>
      </c>
      <c r="T302" t="s">
        <v>42</v>
      </c>
      <c r="U302" t="s">
        <v>463</v>
      </c>
      <c r="V302" t="s">
        <v>395</v>
      </c>
      <c r="W302" t="s">
        <v>463</v>
      </c>
      <c r="X302" t="s">
        <v>45</v>
      </c>
      <c r="Y302" t="s">
        <v>444</v>
      </c>
      <c r="Z302" t="s">
        <v>47</v>
      </c>
      <c r="AA302"/>
      <c r="AB302"/>
      <c r="AC302"/>
      <c r="AD302" t="s">
        <v>456</v>
      </c>
    </row>
    <row r="303" spans="1:30">
      <c r="A303">
        <v>2110060292</v>
      </c>
      <c r="B303" t="s">
        <v>30</v>
      </c>
      <c r="C303" t="s">
        <v>31</v>
      </c>
      <c r="D303" t="s">
        <v>32</v>
      </c>
      <c r="E303" t="s">
        <v>93</v>
      </c>
      <c r="F303" t="s">
        <v>194</v>
      </c>
      <c r="G303" t="s">
        <v>195</v>
      </c>
      <c r="H303" t="s">
        <v>50</v>
      </c>
      <c r="I303" t="s">
        <v>355</v>
      </c>
      <c r="J303" t="s">
        <v>486</v>
      </c>
      <c r="K303" t="str">
        <f>"9135012114044"</f>
        <v>0</v>
      </c>
      <c r="L303">
        <v>39500</v>
      </c>
      <c r="M303"/>
      <c r="N303" t="s">
        <v>38</v>
      </c>
      <c r="O303" t="s">
        <v>38</v>
      </c>
      <c r="P303" t="s">
        <v>53</v>
      </c>
      <c r="Q303" t="s">
        <v>38</v>
      </c>
      <c r="R303" t="s">
        <v>38</v>
      </c>
      <c r="S303" t="s">
        <v>42</v>
      </c>
      <c r="T303" t="s">
        <v>42</v>
      </c>
      <c r="U303" t="s">
        <v>463</v>
      </c>
      <c r="V303" t="s">
        <v>395</v>
      </c>
      <c r="W303" t="s">
        <v>463</v>
      </c>
      <c r="X303" t="s">
        <v>45</v>
      </c>
      <c r="Y303" t="s">
        <v>444</v>
      </c>
      <c r="Z303" t="s">
        <v>47</v>
      </c>
      <c r="AA303"/>
      <c r="AB303"/>
      <c r="AC303"/>
      <c r="AD303" t="s">
        <v>456</v>
      </c>
    </row>
    <row r="304" spans="1:30">
      <c r="A304">
        <v>2110060293</v>
      </c>
      <c r="B304" t="s">
        <v>30</v>
      </c>
      <c r="C304" t="s">
        <v>31</v>
      </c>
      <c r="D304" t="s">
        <v>32</v>
      </c>
      <c r="E304" t="s">
        <v>93</v>
      </c>
      <c r="F304" t="s">
        <v>194</v>
      </c>
      <c r="G304" t="s">
        <v>195</v>
      </c>
      <c r="H304" t="s">
        <v>50</v>
      </c>
      <c r="I304" t="s">
        <v>355</v>
      </c>
      <c r="J304" t="s">
        <v>59</v>
      </c>
      <c r="K304" t="str">
        <f>"9135012113860"</f>
        <v>0</v>
      </c>
      <c r="L304">
        <v>39500</v>
      </c>
      <c r="M304"/>
      <c r="N304" t="s">
        <v>38</v>
      </c>
      <c r="O304" t="s">
        <v>38</v>
      </c>
      <c r="P304" t="s">
        <v>53</v>
      </c>
      <c r="Q304" t="s">
        <v>38</v>
      </c>
      <c r="R304" t="s">
        <v>38</v>
      </c>
      <c r="S304" t="s">
        <v>42</v>
      </c>
      <c r="T304" t="s">
        <v>42</v>
      </c>
      <c r="U304" t="s">
        <v>463</v>
      </c>
      <c r="V304" t="s">
        <v>395</v>
      </c>
      <c r="W304" t="s">
        <v>463</v>
      </c>
      <c r="X304" t="s">
        <v>45</v>
      </c>
      <c r="Y304" t="s">
        <v>444</v>
      </c>
      <c r="Z304" t="s">
        <v>47</v>
      </c>
      <c r="AA304"/>
      <c r="AB304"/>
      <c r="AC304"/>
      <c r="AD304" t="s">
        <v>456</v>
      </c>
    </row>
    <row r="305" spans="1:30">
      <c r="A305">
        <v>2110060294</v>
      </c>
      <c r="B305" t="s">
        <v>30</v>
      </c>
      <c r="C305" t="s">
        <v>31</v>
      </c>
      <c r="D305" t="s">
        <v>32</v>
      </c>
      <c r="E305" t="s">
        <v>93</v>
      </c>
      <c r="F305" t="s">
        <v>194</v>
      </c>
      <c r="G305" t="s">
        <v>195</v>
      </c>
      <c r="H305" t="s">
        <v>50</v>
      </c>
      <c r="I305" t="s">
        <v>355</v>
      </c>
      <c r="J305" t="s">
        <v>486</v>
      </c>
      <c r="K305" t="str">
        <f>"9135012113869"</f>
        <v>0</v>
      </c>
      <c r="L305">
        <v>39500</v>
      </c>
      <c r="M305"/>
      <c r="N305" t="s">
        <v>38</v>
      </c>
      <c r="O305" t="s">
        <v>38</v>
      </c>
      <c r="P305" t="s">
        <v>53</v>
      </c>
      <c r="Q305" t="s">
        <v>38</v>
      </c>
      <c r="R305" t="s">
        <v>38</v>
      </c>
      <c r="S305" t="s">
        <v>42</v>
      </c>
      <c r="T305" t="s">
        <v>42</v>
      </c>
      <c r="U305" t="s">
        <v>463</v>
      </c>
      <c r="V305" t="s">
        <v>395</v>
      </c>
      <c r="W305" t="s">
        <v>463</v>
      </c>
      <c r="X305" t="s">
        <v>45</v>
      </c>
      <c r="Y305" t="s">
        <v>444</v>
      </c>
      <c r="Z305" t="s">
        <v>47</v>
      </c>
      <c r="AA305"/>
      <c r="AB305"/>
      <c r="AC305"/>
      <c r="AD305" t="s">
        <v>456</v>
      </c>
    </row>
    <row r="306" spans="1:30">
      <c r="A306">
        <v>2110060295</v>
      </c>
      <c r="B306" t="s">
        <v>30</v>
      </c>
      <c r="C306" t="s">
        <v>31</v>
      </c>
      <c r="D306" t="s">
        <v>32</v>
      </c>
      <c r="E306" t="s">
        <v>93</v>
      </c>
      <c r="F306" t="s">
        <v>194</v>
      </c>
      <c r="G306" t="s">
        <v>195</v>
      </c>
      <c r="H306" t="s">
        <v>50</v>
      </c>
      <c r="I306" t="s">
        <v>355</v>
      </c>
      <c r="J306" t="s">
        <v>59</v>
      </c>
      <c r="K306" t="str">
        <f>"9135012113795"</f>
        <v>0</v>
      </c>
      <c r="L306">
        <v>39500</v>
      </c>
      <c r="M306"/>
      <c r="N306" t="s">
        <v>38</v>
      </c>
      <c r="O306" t="s">
        <v>38</v>
      </c>
      <c r="P306" t="s">
        <v>53</v>
      </c>
      <c r="Q306" t="s">
        <v>38</v>
      </c>
      <c r="R306" t="s">
        <v>38</v>
      </c>
      <c r="S306" t="s">
        <v>42</v>
      </c>
      <c r="T306" t="s">
        <v>42</v>
      </c>
      <c r="U306" t="s">
        <v>463</v>
      </c>
      <c r="V306" t="s">
        <v>395</v>
      </c>
      <c r="W306" t="s">
        <v>463</v>
      </c>
      <c r="X306" t="s">
        <v>45</v>
      </c>
      <c r="Y306" t="s">
        <v>444</v>
      </c>
      <c r="Z306" t="s">
        <v>47</v>
      </c>
      <c r="AA306"/>
      <c r="AB306"/>
      <c r="AC306"/>
      <c r="AD306" t="s">
        <v>456</v>
      </c>
    </row>
    <row r="307" spans="1:30">
      <c r="A307">
        <v>2110060296</v>
      </c>
      <c r="B307" t="s">
        <v>30</v>
      </c>
      <c r="C307" t="s">
        <v>31</v>
      </c>
      <c r="D307" t="s">
        <v>32</v>
      </c>
      <c r="E307" t="s">
        <v>93</v>
      </c>
      <c r="F307" t="s">
        <v>194</v>
      </c>
      <c r="G307" t="s">
        <v>195</v>
      </c>
      <c r="H307" t="s">
        <v>50</v>
      </c>
      <c r="I307" t="s">
        <v>355</v>
      </c>
      <c r="J307" t="s">
        <v>59</v>
      </c>
      <c r="K307" t="str">
        <f>"9135012113863"</f>
        <v>0</v>
      </c>
      <c r="L307">
        <v>39500</v>
      </c>
      <c r="M307"/>
      <c r="N307" t="s">
        <v>38</v>
      </c>
      <c r="O307" t="s">
        <v>38</v>
      </c>
      <c r="P307" t="s">
        <v>53</v>
      </c>
      <c r="Q307" t="s">
        <v>38</v>
      </c>
      <c r="R307" t="s">
        <v>38</v>
      </c>
      <c r="S307" t="s">
        <v>42</v>
      </c>
      <c r="T307" t="s">
        <v>42</v>
      </c>
      <c r="U307" t="s">
        <v>463</v>
      </c>
      <c r="V307" t="s">
        <v>395</v>
      </c>
      <c r="W307" t="s">
        <v>463</v>
      </c>
      <c r="X307" t="s">
        <v>45</v>
      </c>
      <c r="Y307" t="s">
        <v>444</v>
      </c>
      <c r="Z307" t="s">
        <v>47</v>
      </c>
      <c r="AA307"/>
      <c r="AB307"/>
      <c r="AC307"/>
      <c r="AD307" t="s">
        <v>456</v>
      </c>
    </row>
    <row r="308" spans="1:30">
      <c r="A308">
        <v>2110060300</v>
      </c>
      <c r="B308" t="s">
        <v>30</v>
      </c>
      <c r="C308" t="s">
        <v>31</v>
      </c>
      <c r="D308" t="s">
        <v>32</v>
      </c>
      <c r="E308" t="s">
        <v>93</v>
      </c>
      <c r="F308" t="s">
        <v>80</v>
      </c>
      <c r="G308" t="s">
        <v>81</v>
      </c>
      <c r="H308" t="s">
        <v>50</v>
      </c>
      <c r="I308" t="s">
        <v>82</v>
      </c>
      <c r="J308" t="s">
        <v>489</v>
      </c>
      <c r="K308" t="str">
        <f>"Q485618"</f>
        <v>0</v>
      </c>
      <c r="L308">
        <v>15000</v>
      </c>
      <c r="M308"/>
      <c r="N308" t="s">
        <v>38</v>
      </c>
      <c r="O308" t="s">
        <v>38</v>
      </c>
      <c r="P308" t="s">
        <v>53</v>
      </c>
      <c r="Q308" t="s">
        <v>38</v>
      </c>
      <c r="R308" t="s">
        <v>38</v>
      </c>
      <c r="S308" t="s">
        <v>42</v>
      </c>
      <c r="T308" t="s">
        <v>42</v>
      </c>
      <c r="U308" t="s">
        <v>463</v>
      </c>
      <c r="V308" t="s">
        <v>395</v>
      </c>
      <c r="W308" t="s">
        <v>463</v>
      </c>
      <c r="X308" t="s">
        <v>45</v>
      </c>
      <c r="Y308" t="s">
        <v>444</v>
      </c>
      <c r="Z308" t="s">
        <v>47</v>
      </c>
      <c r="AA308"/>
      <c r="AB308"/>
      <c r="AC308"/>
      <c r="AD308" t="s">
        <v>456</v>
      </c>
    </row>
    <row r="309" spans="1:30">
      <c r="A309">
        <v>2110060301</v>
      </c>
      <c r="B309" t="s">
        <v>30</v>
      </c>
      <c r="C309" t="s">
        <v>31</v>
      </c>
      <c r="D309" t="s">
        <v>32</v>
      </c>
      <c r="E309" t="s">
        <v>93</v>
      </c>
      <c r="F309" t="s">
        <v>80</v>
      </c>
      <c r="G309" t="s">
        <v>81</v>
      </c>
      <c r="H309" t="s">
        <v>50</v>
      </c>
      <c r="I309" t="s">
        <v>82</v>
      </c>
      <c r="J309" t="s">
        <v>489</v>
      </c>
      <c r="K309" t="str">
        <f>"Q485302"</f>
        <v>0</v>
      </c>
      <c r="L309">
        <v>15000</v>
      </c>
      <c r="M309"/>
      <c r="N309" t="s">
        <v>38</v>
      </c>
      <c r="O309" t="s">
        <v>38</v>
      </c>
      <c r="P309" t="s">
        <v>53</v>
      </c>
      <c r="Q309" t="s">
        <v>38</v>
      </c>
      <c r="R309" t="s">
        <v>38</v>
      </c>
      <c r="S309" t="s">
        <v>42</v>
      </c>
      <c r="T309" t="s">
        <v>42</v>
      </c>
      <c r="U309" t="s">
        <v>463</v>
      </c>
      <c r="V309" t="s">
        <v>395</v>
      </c>
      <c r="W309" t="s">
        <v>463</v>
      </c>
      <c r="X309" t="s">
        <v>45</v>
      </c>
      <c r="Y309" t="s">
        <v>444</v>
      </c>
      <c r="Z309" t="s">
        <v>47</v>
      </c>
      <c r="AA309"/>
      <c r="AB309"/>
      <c r="AC309"/>
      <c r="AD309" t="s">
        <v>456</v>
      </c>
    </row>
    <row r="310" spans="1:30">
      <c r="A310">
        <v>2110060157</v>
      </c>
      <c r="B310" t="s">
        <v>30</v>
      </c>
      <c r="C310" t="s">
        <v>31</v>
      </c>
      <c r="D310" t="s">
        <v>32</v>
      </c>
      <c r="E310" t="s">
        <v>93</v>
      </c>
      <c r="F310" t="s">
        <v>64</v>
      </c>
      <c r="G310" t="s">
        <v>99</v>
      </c>
      <c r="H310" t="s">
        <v>50</v>
      </c>
      <c r="I310" t="s">
        <v>227</v>
      </c>
      <c r="J310" t="s">
        <v>490</v>
      </c>
      <c r="K310" t="str">
        <f>"210301047"</f>
        <v>0</v>
      </c>
      <c r="L310">
        <v>38047</v>
      </c>
      <c r="M310"/>
      <c r="N310" t="s">
        <v>38</v>
      </c>
      <c r="O310" t="s">
        <v>38</v>
      </c>
      <c r="P310" t="s">
        <v>53</v>
      </c>
      <c r="Q310" t="s">
        <v>38</v>
      </c>
      <c r="R310" t="s">
        <v>38</v>
      </c>
      <c r="S310" t="s">
        <v>42</v>
      </c>
      <c r="T310" t="s">
        <v>42</v>
      </c>
      <c r="U310" t="s">
        <v>463</v>
      </c>
      <c r="V310" t="s">
        <v>45</v>
      </c>
      <c r="W310" t="s">
        <v>463</v>
      </c>
      <c r="X310" t="s">
        <v>45</v>
      </c>
      <c r="Y310" t="s">
        <v>444</v>
      </c>
      <c r="Z310" t="s">
        <v>47</v>
      </c>
      <c r="AA310"/>
      <c r="AB310"/>
      <c r="AC310"/>
      <c r="AD310"/>
    </row>
    <row r="311" spans="1:30">
      <c r="A311">
        <v>2110060172</v>
      </c>
      <c r="B311" t="s">
        <v>30</v>
      </c>
      <c r="C311" t="s">
        <v>31</v>
      </c>
      <c r="D311" t="s">
        <v>32</v>
      </c>
      <c r="E311" t="s">
        <v>93</v>
      </c>
      <c r="F311" t="s">
        <v>64</v>
      </c>
      <c r="G311" t="s">
        <v>99</v>
      </c>
      <c r="H311" t="s">
        <v>50</v>
      </c>
      <c r="I311" t="s">
        <v>227</v>
      </c>
      <c r="J311" t="s">
        <v>490</v>
      </c>
      <c r="K311" t="str">
        <f>"210302247"</f>
        <v>0</v>
      </c>
      <c r="L311">
        <v>38047</v>
      </c>
      <c r="M311"/>
      <c r="N311" t="s">
        <v>38</v>
      </c>
      <c r="O311" t="s">
        <v>38</v>
      </c>
      <c r="P311" t="s">
        <v>53</v>
      </c>
      <c r="Q311" t="s">
        <v>38</v>
      </c>
      <c r="R311" t="s">
        <v>38</v>
      </c>
      <c r="S311" t="s">
        <v>42</v>
      </c>
      <c r="T311" t="s">
        <v>42</v>
      </c>
      <c r="U311" t="s">
        <v>463</v>
      </c>
      <c r="V311" t="s">
        <v>45</v>
      </c>
      <c r="W311" t="s">
        <v>463</v>
      </c>
      <c r="X311" t="s">
        <v>45</v>
      </c>
      <c r="Y311" t="s">
        <v>444</v>
      </c>
      <c r="Z311" t="s">
        <v>47</v>
      </c>
      <c r="AA311"/>
      <c r="AB311"/>
      <c r="AC311"/>
      <c r="AD311"/>
    </row>
    <row r="312" spans="1:30">
      <c r="A312">
        <v>2110060173</v>
      </c>
      <c r="B312" t="s">
        <v>30</v>
      </c>
      <c r="C312" t="s">
        <v>31</v>
      </c>
      <c r="D312" t="s">
        <v>32</v>
      </c>
      <c r="E312" t="s">
        <v>93</v>
      </c>
      <c r="F312" t="s">
        <v>64</v>
      </c>
      <c r="G312" t="s">
        <v>99</v>
      </c>
      <c r="H312" t="s">
        <v>50</v>
      </c>
      <c r="I312" t="s">
        <v>227</v>
      </c>
      <c r="J312" t="s">
        <v>490</v>
      </c>
      <c r="K312" t="str">
        <f>"210301008"</f>
        <v>0</v>
      </c>
      <c r="L312">
        <v>38047</v>
      </c>
      <c r="M312"/>
      <c r="N312" t="s">
        <v>38</v>
      </c>
      <c r="O312" t="s">
        <v>38</v>
      </c>
      <c r="P312" t="s">
        <v>53</v>
      </c>
      <c r="Q312" t="s">
        <v>38</v>
      </c>
      <c r="R312" t="s">
        <v>38</v>
      </c>
      <c r="S312" t="s">
        <v>42</v>
      </c>
      <c r="T312" t="s">
        <v>42</v>
      </c>
      <c r="U312" t="s">
        <v>463</v>
      </c>
      <c r="V312" t="s">
        <v>45</v>
      </c>
      <c r="W312" t="s">
        <v>463</v>
      </c>
      <c r="X312" t="s">
        <v>45</v>
      </c>
      <c r="Y312" t="s">
        <v>444</v>
      </c>
      <c r="Z312" t="s">
        <v>47</v>
      </c>
      <c r="AA312"/>
      <c r="AB312"/>
      <c r="AC312"/>
      <c r="AD312"/>
    </row>
    <row r="313" spans="1:30">
      <c r="A313">
        <v>2110060302</v>
      </c>
      <c r="B313" t="s">
        <v>30</v>
      </c>
      <c r="C313" t="s">
        <v>31</v>
      </c>
      <c r="D313" t="s">
        <v>32</v>
      </c>
      <c r="E313" t="s">
        <v>79</v>
      </c>
      <c r="F313" t="s">
        <v>80</v>
      </c>
      <c r="G313" t="s">
        <v>81</v>
      </c>
      <c r="H313" t="s">
        <v>50</v>
      </c>
      <c r="I313" t="s">
        <v>82</v>
      </c>
      <c r="J313" t="s">
        <v>491</v>
      </c>
      <c r="K313" t="str">
        <f>"Q485548"</f>
        <v>0</v>
      </c>
      <c r="L313">
        <v>15000</v>
      </c>
      <c r="M313"/>
      <c r="N313" t="s">
        <v>38</v>
      </c>
      <c r="O313" t="s">
        <v>38</v>
      </c>
      <c r="P313" t="s">
        <v>53</v>
      </c>
      <c r="Q313" t="s">
        <v>38</v>
      </c>
      <c r="R313" t="s">
        <v>38</v>
      </c>
      <c r="S313" t="s">
        <v>42</v>
      </c>
      <c r="T313" t="s">
        <v>42</v>
      </c>
      <c r="U313" t="s">
        <v>463</v>
      </c>
      <c r="V313" t="s">
        <v>395</v>
      </c>
      <c r="W313" t="s">
        <v>463</v>
      </c>
      <c r="X313" t="s">
        <v>45</v>
      </c>
      <c r="Y313" t="s">
        <v>444</v>
      </c>
      <c r="Z313" t="s">
        <v>47</v>
      </c>
      <c r="AA313"/>
      <c r="AB313"/>
      <c r="AC313"/>
      <c r="AD313" t="s">
        <v>456</v>
      </c>
    </row>
    <row r="314" spans="1:30">
      <c r="A314">
        <v>2110060303</v>
      </c>
      <c r="B314" t="s">
        <v>30</v>
      </c>
      <c r="C314" t="s">
        <v>31</v>
      </c>
      <c r="D314" t="s">
        <v>32</v>
      </c>
      <c r="E314" t="s">
        <v>55</v>
      </c>
      <c r="F314" t="s">
        <v>166</v>
      </c>
      <c r="G314" t="s">
        <v>167</v>
      </c>
      <c r="H314" t="s">
        <v>35</v>
      </c>
      <c r="I314" t="s">
        <v>311</v>
      </c>
      <c r="J314" t="s">
        <v>492</v>
      </c>
      <c r="K314" t="str">
        <f>"De671H1924"</f>
        <v>0</v>
      </c>
      <c r="L314">
        <v>529100</v>
      </c>
      <c r="M314"/>
      <c r="N314" t="s">
        <v>38</v>
      </c>
      <c r="O314" t="s">
        <v>38</v>
      </c>
      <c r="P314" t="s">
        <v>53</v>
      </c>
      <c r="Q314" t="s">
        <v>38</v>
      </c>
      <c r="R314" t="s">
        <v>38</v>
      </c>
      <c r="S314" t="s">
        <v>266</v>
      </c>
      <c r="T314" t="s">
        <v>266</v>
      </c>
      <c r="U314" t="s">
        <v>463</v>
      </c>
      <c r="V314" t="s">
        <v>44</v>
      </c>
      <c r="W314" t="s">
        <v>463</v>
      </c>
      <c r="X314" t="s">
        <v>45</v>
      </c>
      <c r="Y314" t="s">
        <v>444</v>
      </c>
      <c r="Z314" t="s">
        <v>70</v>
      </c>
      <c r="AA314"/>
      <c r="AB314"/>
      <c r="AC314"/>
      <c r="AD314" t="s">
        <v>493</v>
      </c>
    </row>
    <row r="315" spans="1:30">
      <c r="A315">
        <v>2110060306</v>
      </c>
      <c r="B315" t="s">
        <v>30</v>
      </c>
      <c r="C315" t="s">
        <v>31</v>
      </c>
      <c r="D315" t="s">
        <v>32</v>
      </c>
      <c r="E315" t="s">
        <v>55</v>
      </c>
      <c r="F315" t="s">
        <v>166</v>
      </c>
      <c r="G315" t="s">
        <v>247</v>
      </c>
      <c r="H315" t="s">
        <v>50</v>
      </c>
      <c r="I315" t="s">
        <v>299</v>
      </c>
      <c r="J315" t="s">
        <v>300</v>
      </c>
      <c r="K315" t="str">
        <f>"Eg09L00310"</f>
        <v>0</v>
      </c>
      <c r="L315">
        <v>37000</v>
      </c>
      <c r="M315"/>
      <c r="N315" t="s">
        <v>38</v>
      </c>
      <c r="O315" t="s">
        <v>38</v>
      </c>
      <c r="P315" t="s">
        <v>53</v>
      </c>
      <c r="Q315" t="s">
        <v>38</v>
      </c>
      <c r="R315" t="s">
        <v>38</v>
      </c>
      <c r="S315" t="s">
        <v>42</v>
      </c>
      <c r="T315" t="s">
        <v>42</v>
      </c>
      <c r="U315" t="s">
        <v>463</v>
      </c>
      <c r="V315" t="s">
        <v>44</v>
      </c>
      <c r="W315" t="s">
        <v>463</v>
      </c>
      <c r="X315" t="s">
        <v>45</v>
      </c>
      <c r="Y315" t="s">
        <v>444</v>
      </c>
      <c r="Z315" t="s">
        <v>47</v>
      </c>
      <c r="AA315"/>
      <c r="AB315"/>
      <c r="AC315"/>
      <c r="AD315"/>
    </row>
    <row r="316" spans="1:30">
      <c r="A316">
        <v>2110060253</v>
      </c>
      <c r="B316" t="s">
        <v>30</v>
      </c>
      <c r="C316" t="s">
        <v>31</v>
      </c>
      <c r="D316" t="s">
        <v>32</v>
      </c>
      <c r="E316" t="s">
        <v>494</v>
      </c>
      <c r="F316" t="s">
        <v>401</v>
      </c>
      <c r="G316" t="s">
        <v>479</v>
      </c>
      <c r="H316" t="s">
        <v>50</v>
      </c>
      <c r="I316" t="s">
        <v>382</v>
      </c>
      <c r="J316" t="s">
        <v>495</v>
      </c>
      <c r="K316" t="str">
        <f>"na"</f>
        <v>0</v>
      </c>
      <c r="L316">
        <v>36750</v>
      </c>
      <c r="M316"/>
      <c r="N316" t="s">
        <v>38</v>
      </c>
      <c r="O316" t="s">
        <v>38</v>
      </c>
      <c r="P316" t="s">
        <v>53</v>
      </c>
      <c r="Q316" t="s">
        <v>38</v>
      </c>
      <c r="R316" t="s">
        <v>38</v>
      </c>
      <c r="S316" t="s">
        <v>42</v>
      </c>
      <c r="T316" t="s">
        <v>42</v>
      </c>
      <c r="U316" t="s">
        <v>463</v>
      </c>
      <c r="V316" t="s">
        <v>395</v>
      </c>
      <c r="W316" t="s">
        <v>463</v>
      </c>
      <c r="X316" t="s">
        <v>45</v>
      </c>
      <c r="Y316" t="s">
        <v>444</v>
      </c>
      <c r="Z316" t="s">
        <v>47</v>
      </c>
      <c r="AA316"/>
      <c r="AB316"/>
      <c r="AC316"/>
      <c r="AD316" t="s">
        <v>445</v>
      </c>
    </row>
    <row r="317" spans="1:30">
      <c r="A317">
        <v>2110060254</v>
      </c>
      <c r="B317" t="s">
        <v>30</v>
      </c>
      <c r="C317" t="s">
        <v>31</v>
      </c>
      <c r="D317" t="s">
        <v>32</v>
      </c>
      <c r="E317" t="s">
        <v>494</v>
      </c>
      <c r="F317" t="s">
        <v>108</v>
      </c>
      <c r="G317" t="s">
        <v>109</v>
      </c>
      <c r="H317" t="s">
        <v>50</v>
      </c>
      <c r="I317" t="s">
        <v>496</v>
      </c>
      <c r="J317" t="s">
        <v>315</v>
      </c>
      <c r="K317" t="str">
        <f>"na"</f>
        <v>0</v>
      </c>
      <c r="L317">
        <v>10000</v>
      </c>
      <c r="M317"/>
      <c r="N317" t="s">
        <v>38</v>
      </c>
      <c r="O317" t="s">
        <v>38</v>
      </c>
      <c r="P317" t="s">
        <v>53</v>
      </c>
      <c r="Q317" t="s">
        <v>38</v>
      </c>
      <c r="R317" t="s">
        <v>38</v>
      </c>
      <c r="S317" t="s">
        <v>42</v>
      </c>
      <c r="T317" t="s">
        <v>42</v>
      </c>
      <c r="U317" t="s">
        <v>463</v>
      </c>
      <c r="V317" t="s">
        <v>395</v>
      </c>
      <c r="W317" t="s">
        <v>463</v>
      </c>
      <c r="X317" t="s">
        <v>45</v>
      </c>
      <c r="Y317" t="s">
        <v>444</v>
      </c>
      <c r="Z317" t="s">
        <v>47</v>
      </c>
      <c r="AA317"/>
      <c r="AB317"/>
      <c r="AC317"/>
      <c r="AD317" t="s">
        <v>445</v>
      </c>
    </row>
    <row r="318" spans="1:30">
      <c r="A318">
        <v>2110060252</v>
      </c>
      <c r="B318" t="s">
        <v>30</v>
      </c>
      <c r="C318" t="s">
        <v>31</v>
      </c>
      <c r="D318" t="s">
        <v>32</v>
      </c>
      <c r="E318" t="s">
        <v>494</v>
      </c>
      <c r="F318" t="s">
        <v>143</v>
      </c>
      <c r="G318" t="s">
        <v>377</v>
      </c>
      <c r="H318" t="s">
        <v>50</v>
      </c>
      <c r="I318" t="s">
        <v>497</v>
      </c>
      <c r="J318" t="s">
        <v>59</v>
      </c>
      <c r="K318" t="str">
        <f>"mp-140"</f>
        <v>0</v>
      </c>
      <c r="L318">
        <v>30000</v>
      </c>
      <c r="M318"/>
      <c r="N318" t="s">
        <v>38</v>
      </c>
      <c r="O318" t="s">
        <v>38</v>
      </c>
      <c r="P318" t="s">
        <v>53</v>
      </c>
      <c r="Q318" t="s">
        <v>38</v>
      </c>
      <c r="R318" t="s">
        <v>38</v>
      </c>
      <c r="S318" t="s">
        <v>42</v>
      </c>
      <c r="T318" t="s">
        <v>42</v>
      </c>
      <c r="U318" t="s">
        <v>463</v>
      </c>
      <c r="V318" t="s">
        <v>395</v>
      </c>
      <c r="W318" t="s">
        <v>463</v>
      </c>
      <c r="X318" t="s">
        <v>45</v>
      </c>
      <c r="Y318" t="s">
        <v>444</v>
      </c>
      <c r="Z318" t="s">
        <v>47</v>
      </c>
      <c r="AA318"/>
      <c r="AB318"/>
      <c r="AC318"/>
      <c r="AD318" t="s">
        <v>456</v>
      </c>
    </row>
    <row r="319" spans="1:30">
      <c r="A319">
        <v>2110060251</v>
      </c>
      <c r="B319" t="s">
        <v>30</v>
      </c>
      <c r="C319" t="s">
        <v>31</v>
      </c>
      <c r="D319" t="s">
        <v>32</v>
      </c>
      <c r="E319" t="s">
        <v>494</v>
      </c>
      <c r="F319" t="s">
        <v>143</v>
      </c>
      <c r="G319" t="s">
        <v>144</v>
      </c>
      <c r="H319" t="s">
        <v>50</v>
      </c>
      <c r="I319" t="s">
        <v>375</v>
      </c>
      <c r="J319" t="s">
        <v>59</v>
      </c>
      <c r="K319" t="str">
        <f>"na"</f>
        <v>0</v>
      </c>
      <c r="L319">
        <v>34335</v>
      </c>
      <c r="M319"/>
      <c r="N319" t="s">
        <v>38</v>
      </c>
      <c r="O319" t="s">
        <v>38</v>
      </c>
      <c r="P319" t="s">
        <v>53</v>
      </c>
      <c r="Q319" t="s">
        <v>38</v>
      </c>
      <c r="R319" t="s">
        <v>38</v>
      </c>
      <c r="S319" t="s">
        <v>42</v>
      </c>
      <c r="T319" t="s">
        <v>42</v>
      </c>
      <c r="U319" t="s">
        <v>463</v>
      </c>
      <c r="V319" t="s">
        <v>395</v>
      </c>
      <c r="W319" t="s">
        <v>463</v>
      </c>
      <c r="X319" t="s">
        <v>45</v>
      </c>
      <c r="Y319" t="s">
        <v>444</v>
      </c>
      <c r="Z319" t="s">
        <v>47</v>
      </c>
      <c r="AA319"/>
      <c r="AB319"/>
      <c r="AC319"/>
      <c r="AD319" t="s">
        <v>456</v>
      </c>
    </row>
    <row r="320" spans="1:30">
      <c r="A320">
        <v>2110060219</v>
      </c>
      <c r="B320" t="s">
        <v>30</v>
      </c>
      <c r="C320" t="s">
        <v>31</v>
      </c>
      <c r="D320" t="s">
        <v>32</v>
      </c>
      <c r="E320" t="s">
        <v>494</v>
      </c>
      <c r="F320" t="s">
        <v>48</v>
      </c>
      <c r="G320" t="s">
        <v>136</v>
      </c>
      <c r="H320" t="s">
        <v>50</v>
      </c>
      <c r="I320" t="s">
        <v>254</v>
      </c>
      <c r="J320" t="s">
        <v>498</v>
      </c>
      <c r="K320" t="str">
        <f>"20171870483"</f>
        <v>0</v>
      </c>
      <c r="L320">
        <v>350000</v>
      </c>
      <c r="M320"/>
      <c r="N320" t="s">
        <v>38</v>
      </c>
      <c r="O320" t="s">
        <v>38</v>
      </c>
      <c r="P320" t="s">
        <v>53</v>
      </c>
      <c r="Q320" t="s">
        <v>38</v>
      </c>
      <c r="R320" t="s">
        <v>38</v>
      </c>
      <c r="S320" t="s">
        <v>42</v>
      </c>
      <c r="T320" t="s">
        <v>42</v>
      </c>
      <c r="U320" t="s">
        <v>463</v>
      </c>
      <c r="V320" t="s">
        <v>395</v>
      </c>
      <c r="W320" t="s">
        <v>463</v>
      </c>
      <c r="X320" t="s">
        <v>45</v>
      </c>
      <c r="Y320" t="s">
        <v>444</v>
      </c>
      <c r="Z320" t="s">
        <v>47</v>
      </c>
      <c r="AA320"/>
      <c r="AB320"/>
      <c r="AC320"/>
      <c r="AD320" t="s">
        <v>456</v>
      </c>
    </row>
    <row r="321" spans="1:30">
      <c r="A321">
        <v>2110060220</v>
      </c>
      <c r="B321" t="s">
        <v>30</v>
      </c>
      <c r="C321" t="s">
        <v>31</v>
      </c>
      <c r="D321" t="s">
        <v>32</v>
      </c>
      <c r="E321" t="s">
        <v>494</v>
      </c>
      <c r="F321" t="s">
        <v>48</v>
      </c>
      <c r="G321" t="s">
        <v>280</v>
      </c>
      <c r="H321" t="s">
        <v>50</v>
      </c>
      <c r="I321" t="s">
        <v>254</v>
      </c>
      <c r="J321" t="s">
        <v>499</v>
      </c>
      <c r="K321" t="str">
        <f>"20210107483"</f>
        <v>0</v>
      </c>
      <c r="L321">
        <v>105340</v>
      </c>
      <c r="M321"/>
      <c r="N321" t="s">
        <v>38</v>
      </c>
      <c r="O321" t="s">
        <v>38</v>
      </c>
      <c r="P321" t="s">
        <v>53</v>
      </c>
      <c r="Q321" t="s">
        <v>38</v>
      </c>
      <c r="R321" t="s">
        <v>38</v>
      </c>
      <c r="S321" t="s">
        <v>42</v>
      </c>
      <c r="T321" t="s">
        <v>42</v>
      </c>
      <c r="U321" t="s">
        <v>463</v>
      </c>
      <c r="V321" t="s">
        <v>395</v>
      </c>
      <c r="W321" t="s">
        <v>463</v>
      </c>
      <c r="X321" t="s">
        <v>45</v>
      </c>
      <c r="Y321" t="s">
        <v>444</v>
      </c>
      <c r="Z321" t="s">
        <v>47</v>
      </c>
      <c r="AA321"/>
      <c r="AB321"/>
      <c r="AC321"/>
      <c r="AD321" t="s">
        <v>456</v>
      </c>
    </row>
    <row r="322" spans="1:30">
      <c r="A322">
        <v>2110060221</v>
      </c>
      <c r="B322" t="s">
        <v>30</v>
      </c>
      <c r="C322" t="s">
        <v>31</v>
      </c>
      <c r="D322" t="s">
        <v>32</v>
      </c>
      <c r="E322" t="s">
        <v>494</v>
      </c>
      <c r="F322" t="s">
        <v>48</v>
      </c>
      <c r="G322" t="s">
        <v>280</v>
      </c>
      <c r="H322" t="s">
        <v>50</v>
      </c>
      <c r="I322" t="s">
        <v>258</v>
      </c>
      <c r="J322" t="s">
        <v>259</v>
      </c>
      <c r="K322" t="str">
        <f>"na"</f>
        <v>0</v>
      </c>
      <c r="L322">
        <v>105340</v>
      </c>
      <c r="M322"/>
      <c r="N322" t="s">
        <v>38</v>
      </c>
      <c r="O322" t="s">
        <v>38</v>
      </c>
      <c r="P322" t="s">
        <v>53</v>
      </c>
      <c r="Q322" t="s">
        <v>38</v>
      </c>
      <c r="R322" t="s">
        <v>38</v>
      </c>
      <c r="S322" t="s">
        <v>42</v>
      </c>
      <c r="T322" t="s">
        <v>42</v>
      </c>
      <c r="U322" t="s">
        <v>463</v>
      </c>
      <c r="V322" t="s">
        <v>395</v>
      </c>
      <c r="W322" t="s">
        <v>463</v>
      </c>
      <c r="X322" t="s">
        <v>45</v>
      </c>
      <c r="Y322" t="s">
        <v>444</v>
      </c>
      <c r="Z322" t="s">
        <v>47</v>
      </c>
      <c r="AA322"/>
      <c r="AB322"/>
      <c r="AC322"/>
      <c r="AD322" t="s">
        <v>456</v>
      </c>
    </row>
    <row r="323" spans="1:30">
      <c r="A323">
        <v>5110080007</v>
      </c>
      <c r="B323" t="s">
        <v>30</v>
      </c>
      <c r="C323" t="s">
        <v>230</v>
      </c>
      <c r="D323" t="s">
        <v>500</v>
      </c>
      <c r="E323" t="s">
        <v>48</v>
      </c>
      <c r="F323" t="s">
        <v>48</v>
      </c>
      <c r="G323" t="s">
        <v>203</v>
      </c>
      <c r="H323" t="s">
        <v>50</v>
      </c>
      <c r="I323" t="s">
        <v>375</v>
      </c>
      <c r="J323" t="s">
        <v>59</v>
      </c>
      <c r="K323" t="str">
        <f>"na"</f>
        <v>0</v>
      </c>
      <c r="L323">
        <v>20000</v>
      </c>
      <c r="M323"/>
      <c r="N323" t="s">
        <v>38</v>
      </c>
      <c r="O323" t="s">
        <v>38</v>
      </c>
      <c r="P323" t="s">
        <v>53</v>
      </c>
      <c r="Q323" t="s">
        <v>38</v>
      </c>
      <c r="R323" t="s">
        <v>38</v>
      </c>
      <c r="S323" t="s">
        <v>42</v>
      </c>
      <c r="T323" t="s">
        <v>42</v>
      </c>
      <c r="U323" t="s">
        <v>463</v>
      </c>
      <c r="V323" t="s">
        <v>44</v>
      </c>
      <c r="W323" t="s">
        <v>463</v>
      </c>
      <c r="X323" t="s">
        <v>45</v>
      </c>
      <c r="Y323" t="s">
        <v>501</v>
      </c>
      <c r="Z323" t="s">
        <v>47</v>
      </c>
      <c r="AA323"/>
      <c r="AB323"/>
      <c r="AC323"/>
      <c r="AD323"/>
    </row>
    <row r="324" spans="1:30">
      <c r="A324">
        <v>2110060311</v>
      </c>
      <c r="B324" t="s">
        <v>30</v>
      </c>
      <c r="C324" t="s">
        <v>31</v>
      </c>
      <c r="D324" t="s">
        <v>32</v>
      </c>
      <c r="E324" t="s">
        <v>446</v>
      </c>
      <c r="F324" t="s">
        <v>166</v>
      </c>
      <c r="G324" t="s">
        <v>247</v>
      </c>
      <c r="H324" t="s">
        <v>50</v>
      </c>
      <c r="I324" t="s">
        <v>168</v>
      </c>
      <c r="J324" t="s">
        <v>502</v>
      </c>
      <c r="K324" t="str">
        <f>"l19170925051"</f>
        <v>0</v>
      </c>
      <c r="L324">
        <v>34777</v>
      </c>
      <c r="M324"/>
      <c r="N324" t="s">
        <v>38</v>
      </c>
      <c r="O324" t="s">
        <v>38</v>
      </c>
      <c r="P324" t="s">
        <v>53</v>
      </c>
      <c r="Q324" t="s">
        <v>38</v>
      </c>
      <c r="R324" t="s">
        <v>38</v>
      </c>
      <c r="S324" t="s">
        <v>42</v>
      </c>
      <c r="T324" t="s">
        <v>42</v>
      </c>
      <c r="U324" t="s">
        <v>463</v>
      </c>
      <c r="V324" t="s">
        <v>44</v>
      </c>
      <c r="W324" t="s">
        <v>463</v>
      </c>
      <c r="X324" t="s">
        <v>45</v>
      </c>
      <c r="Y324" t="s">
        <v>449</v>
      </c>
      <c r="Z324" t="s">
        <v>47</v>
      </c>
      <c r="AA324"/>
      <c r="AB324"/>
      <c r="AC324"/>
      <c r="AD324"/>
    </row>
    <row r="325" spans="1:30">
      <c r="A325">
        <v>2110060312</v>
      </c>
      <c r="B325" t="s">
        <v>30</v>
      </c>
      <c r="C325" t="s">
        <v>31</v>
      </c>
      <c r="D325" t="s">
        <v>32</v>
      </c>
      <c r="E325" t="s">
        <v>446</v>
      </c>
      <c r="F325" t="s">
        <v>166</v>
      </c>
      <c r="G325" t="s">
        <v>247</v>
      </c>
      <c r="H325" t="s">
        <v>50</v>
      </c>
      <c r="I325" t="s">
        <v>168</v>
      </c>
      <c r="J325" t="s">
        <v>502</v>
      </c>
      <c r="K325" t="str">
        <f>"l19170925053"</f>
        <v>0</v>
      </c>
      <c r="L325">
        <v>34777</v>
      </c>
      <c r="M325"/>
      <c r="N325" t="s">
        <v>38</v>
      </c>
      <c r="O325" t="s">
        <v>38</v>
      </c>
      <c r="P325" t="s">
        <v>53</v>
      </c>
      <c r="Q325" t="s">
        <v>38</v>
      </c>
      <c r="R325" t="s">
        <v>38</v>
      </c>
      <c r="S325" t="s">
        <v>42</v>
      </c>
      <c r="T325" t="s">
        <v>42</v>
      </c>
      <c r="U325" t="s">
        <v>463</v>
      </c>
      <c r="V325" t="s">
        <v>44</v>
      </c>
      <c r="W325" t="s">
        <v>463</v>
      </c>
      <c r="X325" t="s">
        <v>45</v>
      </c>
      <c r="Y325" t="s">
        <v>449</v>
      </c>
      <c r="Z325" t="s">
        <v>47</v>
      </c>
      <c r="AA325"/>
      <c r="AB325"/>
      <c r="AC325"/>
      <c r="AD325"/>
    </row>
    <row r="326" spans="1:30">
      <c r="A326">
        <v>2110060313</v>
      </c>
      <c r="B326" t="s">
        <v>30</v>
      </c>
      <c r="C326" t="s">
        <v>31</v>
      </c>
      <c r="D326" t="s">
        <v>32</v>
      </c>
      <c r="E326" t="s">
        <v>446</v>
      </c>
      <c r="F326" t="s">
        <v>166</v>
      </c>
      <c r="G326" t="s">
        <v>247</v>
      </c>
      <c r="H326" t="s">
        <v>50</v>
      </c>
      <c r="I326" t="s">
        <v>168</v>
      </c>
      <c r="J326" t="s">
        <v>502</v>
      </c>
      <c r="K326" t="str">
        <f>"L19170925057"</f>
        <v>0</v>
      </c>
      <c r="L326">
        <v>34777</v>
      </c>
      <c r="M326"/>
      <c r="N326" t="s">
        <v>38</v>
      </c>
      <c r="O326" t="s">
        <v>38</v>
      </c>
      <c r="P326" t="s">
        <v>53</v>
      </c>
      <c r="Q326" t="s">
        <v>38</v>
      </c>
      <c r="R326" t="s">
        <v>38</v>
      </c>
      <c r="S326" t="s">
        <v>42</v>
      </c>
      <c r="T326" t="s">
        <v>42</v>
      </c>
      <c r="U326" t="s">
        <v>463</v>
      </c>
      <c r="V326" t="s">
        <v>44</v>
      </c>
      <c r="W326" t="s">
        <v>463</v>
      </c>
      <c r="X326" t="s">
        <v>45</v>
      </c>
      <c r="Y326" t="s">
        <v>449</v>
      </c>
      <c r="Z326" t="s">
        <v>47</v>
      </c>
      <c r="AA326"/>
      <c r="AB326"/>
      <c r="AC326"/>
      <c r="AD326"/>
    </row>
    <row r="327" spans="1:30">
      <c r="A327">
        <v>2110060314</v>
      </c>
      <c r="B327" t="s">
        <v>30</v>
      </c>
      <c r="C327" t="s">
        <v>31</v>
      </c>
      <c r="D327" t="s">
        <v>32</v>
      </c>
      <c r="E327" t="s">
        <v>446</v>
      </c>
      <c r="F327" t="s">
        <v>166</v>
      </c>
      <c r="G327" t="s">
        <v>247</v>
      </c>
      <c r="H327" t="s">
        <v>50</v>
      </c>
      <c r="I327" t="s">
        <v>168</v>
      </c>
      <c r="J327" t="s">
        <v>502</v>
      </c>
      <c r="K327" t="str">
        <f>"L19170925052"</f>
        <v>0</v>
      </c>
      <c r="L327">
        <v>34777</v>
      </c>
      <c r="M327"/>
      <c r="N327" t="s">
        <v>38</v>
      </c>
      <c r="O327" t="s">
        <v>38</v>
      </c>
      <c r="P327" t="s">
        <v>53</v>
      </c>
      <c r="Q327" t="s">
        <v>38</v>
      </c>
      <c r="R327" t="s">
        <v>38</v>
      </c>
      <c r="S327" t="s">
        <v>42</v>
      </c>
      <c r="T327" t="s">
        <v>42</v>
      </c>
      <c r="U327" t="s">
        <v>463</v>
      </c>
      <c r="V327" t="s">
        <v>44</v>
      </c>
      <c r="W327" t="s">
        <v>463</v>
      </c>
      <c r="X327" t="s">
        <v>45</v>
      </c>
      <c r="Y327" t="s">
        <v>449</v>
      </c>
      <c r="Z327" t="s">
        <v>47</v>
      </c>
      <c r="AA327"/>
      <c r="AB327"/>
      <c r="AC327"/>
      <c r="AD327"/>
    </row>
    <row r="328" spans="1:30">
      <c r="A328">
        <v>2110060316</v>
      </c>
      <c r="B328" t="s">
        <v>30</v>
      </c>
      <c r="C328" t="s">
        <v>31</v>
      </c>
      <c r="D328" t="s">
        <v>32</v>
      </c>
      <c r="E328" t="s">
        <v>446</v>
      </c>
      <c r="F328" t="s">
        <v>64</v>
      </c>
      <c r="G328" t="s">
        <v>99</v>
      </c>
      <c r="H328" t="s">
        <v>50</v>
      </c>
      <c r="I328" t="s">
        <v>469</v>
      </c>
      <c r="J328" t="s">
        <v>503</v>
      </c>
      <c r="K328" t="str">
        <f>"03-31-000003363"</f>
        <v>0</v>
      </c>
      <c r="L328">
        <v>36000</v>
      </c>
      <c r="M328"/>
      <c r="N328" t="s">
        <v>38</v>
      </c>
      <c r="O328" t="s">
        <v>38</v>
      </c>
      <c r="P328" t="s">
        <v>53</v>
      </c>
      <c r="Q328" t="s">
        <v>38</v>
      </c>
      <c r="R328" t="s">
        <v>38</v>
      </c>
      <c r="S328" t="s">
        <v>42</v>
      </c>
      <c r="T328" t="s">
        <v>42</v>
      </c>
      <c r="U328" t="s">
        <v>463</v>
      </c>
      <c r="V328" t="s">
        <v>44</v>
      </c>
      <c r="W328" t="s">
        <v>463</v>
      </c>
      <c r="X328" t="s">
        <v>45</v>
      </c>
      <c r="Y328" t="s">
        <v>449</v>
      </c>
      <c r="Z328" t="s">
        <v>47</v>
      </c>
      <c r="AA328"/>
      <c r="AB328"/>
      <c r="AC328"/>
      <c r="AD328"/>
    </row>
    <row r="329" spans="1:30">
      <c r="A329">
        <v>2110060317</v>
      </c>
      <c r="B329" t="s">
        <v>30</v>
      </c>
      <c r="C329" t="s">
        <v>31</v>
      </c>
      <c r="D329" t="s">
        <v>32</v>
      </c>
      <c r="E329" t="s">
        <v>446</v>
      </c>
      <c r="F329" t="s">
        <v>64</v>
      </c>
      <c r="G329" t="s">
        <v>99</v>
      </c>
      <c r="H329" t="s">
        <v>50</v>
      </c>
      <c r="I329" t="s">
        <v>375</v>
      </c>
      <c r="J329" t="s">
        <v>504</v>
      </c>
      <c r="K329" t="str">
        <f>"2009171033005"</f>
        <v>0</v>
      </c>
      <c r="L329">
        <v>36000</v>
      </c>
      <c r="M329"/>
      <c r="N329" t="s">
        <v>38</v>
      </c>
      <c r="O329" t="s">
        <v>38</v>
      </c>
      <c r="P329" t="s">
        <v>53</v>
      </c>
      <c r="Q329" t="s">
        <v>38</v>
      </c>
      <c r="R329" t="s">
        <v>38</v>
      </c>
      <c r="S329" t="s">
        <v>42</v>
      </c>
      <c r="T329" t="s">
        <v>42</v>
      </c>
      <c r="U329" t="s">
        <v>463</v>
      </c>
      <c r="V329" t="s">
        <v>44</v>
      </c>
      <c r="W329" t="s">
        <v>463</v>
      </c>
      <c r="X329" t="s">
        <v>45</v>
      </c>
      <c r="Y329" t="s">
        <v>449</v>
      </c>
      <c r="Z329" t="s">
        <v>47</v>
      </c>
      <c r="AA329"/>
      <c r="AB329"/>
      <c r="AC329"/>
      <c r="AD329"/>
    </row>
    <row r="330" spans="1:30">
      <c r="A330">
        <v>2110060365</v>
      </c>
      <c r="B330" t="s">
        <v>30</v>
      </c>
      <c r="C330" t="s">
        <v>31</v>
      </c>
      <c r="D330" t="s">
        <v>32</v>
      </c>
      <c r="E330" t="s">
        <v>112</v>
      </c>
      <c r="F330" t="s">
        <v>64</v>
      </c>
      <c r="G330" t="s">
        <v>99</v>
      </c>
      <c r="H330" t="s">
        <v>50</v>
      </c>
      <c r="I330" t="s">
        <v>469</v>
      </c>
      <c r="J330" t="s">
        <v>482</v>
      </c>
      <c r="K330" t="str">
        <f>"06-28-210500599"</f>
        <v>0</v>
      </c>
      <c r="L330">
        <v>36000</v>
      </c>
      <c r="M330"/>
      <c r="N330" t="s">
        <v>38</v>
      </c>
      <c r="O330" t="s">
        <v>38</v>
      </c>
      <c r="P330" t="s">
        <v>53</v>
      </c>
      <c r="Q330" t="s">
        <v>38</v>
      </c>
      <c r="R330" t="s">
        <v>38</v>
      </c>
      <c r="S330" t="s">
        <v>42</v>
      </c>
      <c r="T330" t="s">
        <v>42</v>
      </c>
      <c r="U330" t="s">
        <v>463</v>
      </c>
      <c r="V330" t="s">
        <v>395</v>
      </c>
      <c r="W330" t="s">
        <v>463</v>
      </c>
      <c r="X330" t="s">
        <v>45</v>
      </c>
      <c r="Y330" t="s">
        <v>481</v>
      </c>
      <c r="Z330" t="s">
        <v>47</v>
      </c>
      <c r="AA330"/>
      <c r="AB330"/>
      <c r="AC330"/>
      <c r="AD330" t="s">
        <v>456</v>
      </c>
    </row>
    <row r="331" spans="1:30">
      <c r="A331">
        <v>2110060366</v>
      </c>
      <c r="B331" t="s">
        <v>30</v>
      </c>
      <c r="C331" t="s">
        <v>31</v>
      </c>
      <c r="D331" t="s">
        <v>32</v>
      </c>
      <c r="E331" t="s">
        <v>112</v>
      </c>
      <c r="F331" t="s">
        <v>64</v>
      </c>
      <c r="G331" t="s">
        <v>99</v>
      </c>
      <c r="H331" t="s">
        <v>50</v>
      </c>
      <c r="I331" t="s">
        <v>469</v>
      </c>
      <c r="J331" t="s">
        <v>482</v>
      </c>
      <c r="K331" t="str">
        <f>"06-28-210500238"</f>
        <v>0</v>
      </c>
      <c r="L331">
        <v>36000</v>
      </c>
      <c r="M331"/>
      <c r="N331" t="s">
        <v>38</v>
      </c>
      <c r="O331" t="s">
        <v>38</v>
      </c>
      <c r="P331" t="s">
        <v>53</v>
      </c>
      <c r="Q331" t="s">
        <v>38</v>
      </c>
      <c r="R331" t="s">
        <v>38</v>
      </c>
      <c r="S331" t="s">
        <v>42</v>
      </c>
      <c r="T331" t="s">
        <v>42</v>
      </c>
      <c r="U331" t="s">
        <v>463</v>
      </c>
      <c r="V331" t="s">
        <v>395</v>
      </c>
      <c r="W331" t="s">
        <v>463</v>
      </c>
      <c r="X331" t="s">
        <v>45</v>
      </c>
      <c r="Y331" t="s">
        <v>481</v>
      </c>
      <c r="Z331" t="s">
        <v>47</v>
      </c>
      <c r="AA331"/>
      <c r="AB331"/>
      <c r="AC331"/>
      <c r="AD331" t="s">
        <v>456</v>
      </c>
    </row>
    <row r="332" spans="1:30">
      <c r="A332">
        <v>2110060367</v>
      </c>
      <c r="B332" t="s">
        <v>30</v>
      </c>
      <c r="C332" t="s">
        <v>31</v>
      </c>
      <c r="D332" t="s">
        <v>32</v>
      </c>
      <c r="E332" t="s">
        <v>112</v>
      </c>
      <c r="F332" t="s">
        <v>64</v>
      </c>
      <c r="G332" t="s">
        <v>99</v>
      </c>
      <c r="H332" t="s">
        <v>50</v>
      </c>
      <c r="I332" t="s">
        <v>469</v>
      </c>
      <c r="J332" t="s">
        <v>482</v>
      </c>
      <c r="K332" t="str">
        <f>"06-28-210500412"</f>
        <v>0</v>
      </c>
      <c r="L332">
        <v>36000</v>
      </c>
      <c r="M332"/>
      <c r="N332" t="s">
        <v>38</v>
      </c>
      <c r="O332" t="s">
        <v>38</v>
      </c>
      <c r="P332" t="s">
        <v>53</v>
      </c>
      <c r="Q332" t="s">
        <v>38</v>
      </c>
      <c r="R332" t="s">
        <v>38</v>
      </c>
      <c r="S332" t="s">
        <v>42</v>
      </c>
      <c r="T332" t="s">
        <v>42</v>
      </c>
      <c r="U332" t="s">
        <v>463</v>
      </c>
      <c r="V332" t="s">
        <v>44</v>
      </c>
      <c r="W332" t="s">
        <v>463</v>
      </c>
      <c r="X332" t="s">
        <v>45</v>
      </c>
      <c r="Y332" t="s">
        <v>481</v>
      </c>
      <c r="Z332" t="s">
        <v>47</v>
      </c>
      <c r="AA332"/>
      <c r="AB332"/>
      <c r="AC332"/>
      <c r="AD332" t="s">
        <v>456</v>
      </c>
    </row>
    <row r="333" spans="1:30">
      <c r="A333">
        <v>2110060368</v>
      </c>
      <c r="B333" t="s">
        <v>30</v>
      </c>
      <c r="C333" t="s">
        <v>31</v>
      </c>
      <c r="D333" t="s">
        <v>32</v>
      </c>
      <c r="E333" t="s">
        <v>112</v>
      </c>
      <c r="F333" t="s">
        <v>64</v>
      </c>
      <c r="G333" t="s">
        <v>99</v>
      </c>
      <c r="H333" t="s">
        <v>50</v>
      </c>
      <c r="I333" t="s">
        <v>469</v>
      </c>
      <c r="J333" t="s">
        <v>482</v>
      </c>
      <c r="K333" t="str">
        <f>"06-28-210500523"</f>
        <v>0</v>
      </c>
      <c r="L333">
        <v>36000</v>
      </c>
      <c r="M333"/>
      <c r="N333" t="s">
        <v>38</v>
      </c>
      <c r="O333" t="s">
        <v>38</v>
      </c>
      <c r="P333" t="s">
        <v>53</v>
      </c>
      <c r="Q333" t="s">
        <v>38</v>
      </c>
      <c r="R333" t="s">
        <v>38</v>
      </c>
      <c r="S333" t="s">
        <v>42</v>
      </c>
      <c r="T333" t="s">
        <v>42</v>
      </c>
      <c r="U333" t="s">
        <v>463</v>
      </c>
      <c r="V333" t="s">
        <v>44</v>
      </c>
      <c r="W333" t="s">
        <v>463</v>
      </c>
      <c r="X333" t="s">
        <v>45</v>
      </c>
      <c r="Y333" t="s">
        <v>481</v>
      </c>
      <c r="Z333" t="s">
        <v>47</v>
      </c>
      <c r="AA333"/>
      <c r="AB333"/>
      <c r="AC333"/>
      <c r="AD333" t="s">
        <v>456</v>
      </c>
    </row>
    <row r="334" spans="1:30">
      <c r="A334">
        <v>2110060369</v>
      </c>
      <c r="B334" t="s">
        <v>30</v>
      </c>
      <c r="C334" t="s">
        <v>31</v>
      </c>
      <c r="D334" t="s">
        <v>32</v>
      </c>
      <c r="E334" t="s">
        <v>112</v>
      </c>
      <c r="F334" t="s">
        <v>64</v>
      </c>
      <c r="G334" t="s">
        <v>99</v>
      </c>
      <c r="H334" t="s">
        <v>50</v>
      </c>
      <c r="I334" t="s">
        <v>469</v>
      </c>
      <c r="J334" t="s">
        <v>482</v>
      </c>
      <c r="K334" t="str">
        <f>"06-28-210500415"</f>
        <v>0</v>
      </c>
      <c r="L334">
        <v>36000</v>
      </c>
      <c r="M334"/>
      <c r="N334" t="s">
        <v>38</v>
      </c>
      <c r="O334" t="s">
        <v>38</v>
      </c>
      <c r="P334" t="s">
        <v>53</v>
      </c>
      <c r="Q334" t="s">
        <v>38</v>
      </c>
      <c r="R334" t="s">
        <v>38</v>
      </c>
      <c r="S334" t="s">
        <v>42</v>
      </c>
      <c r="T334" t="s">
        <v>42</v>
      </c>
      <c r="U334" t="s">
        <v>463</v>
      </c>
      <c r="V334" t="s">
        <v>44</v>
      </c>
      <c r="W334" t="s">
        <v>463</v>
      </c>
      <c r="X334" t="s">
        <v>45</v>
      </c>
      <c r="Y334" t="s">
        <v>481</v>
      </c>
      <c r="Z334" t="s">
        <v>47</v>
      </c>
      <c r="AA334"/>
      <c r="AB334"/>
      <c r="AC334"/>
      <c r="AD334" t="s">
        <v>456</v>
      </c>
    </row>
    <row r="335" spans="1:30">
      <c r="A335">
        <v>2110060370</v>
      </c>
      <c r="B335" t="s">
        <v>30</v>
      </c>
      <c r="C335" t="s">
        <v>31</v>
      </c>
      <c r="D335" t="s">
        <v>32</v>
      </c>
      <c r="E335" t="s">
        <v>112</v>
      </c>
      <c r="F335" t="s">
        <v>64</v>
      </c>
      <c r="G335" t="s">
        <v>99</v>
      </c>
      <c r="H335" t="s">
        <v>50</v>
      </c>
      <c r="I335" t="s">
        <v>469</v>
      </c>
      <c r="J335" t="s">
        <v>482</v>
      </c>
      <c r="K335" t="str">
        <f>"06-28-210500418"</f>
        <v>0</v>
      </c>
      <c r="L335">
        <v>36000</v>
      </c>
      <c r="M335"/>
      <c r="N335" t="s">
        <v>38</v>
      </c>
      <c r="O335" t="s">
        <v>38</v>
      </c>
      <c r="P335" t="s">
        <v>53</v>
      </c>
      <c r="Q335" t="s">
        <v>38</v>
      </c>
      <c r="R335" t="s">
        <v>38</v>
      </c>
      <c r="S335" t="s">
        <v>42</v>
      </c>
      <c r="T335" t="s">
        <v>42</v>
      </c>
      <c r="U335" t="s">
        <v>463</v>
      </c>
      <c r="V335" t="s">
        <v>44</v>
      </c>
      <c r="W335" t="s">
        <v>463</v>
      </c>
      <c r="X335" t="s">
        <v>45</v>
      </c>
      <c r="Y335" t="s">
        <v>481</v>
      </c>
      <c r="Z335" t="s">
        <v>47</v>
      </c>
      <c r="AA335"/>
      <c r="AB335"/>
      <c r="AC335"/>
      <c r="AD335" t="s">
        <v>456</v>
      </c>
    </row>
    <row r="336" spans="1:30">
      <c r="A336">
        <v>2110060371</v>
      </c>
      <c r="B336" t="s">
        <v>30</v>
      </c>
      <c r="C336" t="s">
        <v>31</v>
      </c>
      <c r="D336" t="s">
        <v>32</v>
      </c>
      <c r="E336" t="s">
        <v>112</v>
      </c>
      <c r="F336" t="s">
        <v>64</v>
      </c>
      <c r="G336" t="s">
        <v>99</v>
      </c>
      <c r="H336" t="s">
        <v>50</v>
      </c>
      <c r="I336" t="s">
        <v>469</v>
      </c>
      <c r="J336" t="s">
        <v>482</v>
      </c>
      <c r="K336" t="str">
        <f>"06-28-210500526"</f>
        <v>0</v>
      </c>
      <c r="L336">
        <v>36000</v>
      </c>
      <c r="M336"/>
      <c r="N336" t="s">
        <v>38</v>
      </c>
      <c r="O336" t="s">
        <v>38</v>
      </c>
      <c r="P336" t="s">
        <v>53</v>
      </c>
      <c r="Q336" t="s">
        <v>38</v>
      </c>
      <c r="R336" t="s">
        <v>38</v>
      </c>
      <c r="S336" t="s">
        <v>42</v>
      </c>
      <c r="T336" t="s">
        <v>42</v>
      </c>
      <c r="U336" t="s">
        <v>463</v>
      </c>
      <c r="V336" t="s">
        <v>44</v>
      </c>
      <c r="W336" t="s">
        <v>463</v>
      </c>
      <c r="X336" t="s">
        <v>45</v>
      </c>
      <c r="Y336" t="s">
        <v>481</v>
      </c>
      <c r="Z336" t="s">
        <v>47</v>
      </c>
      <c r="AA336"/>
      <c r="AB336"/>
      <c r="AC336"/>
      <c r="AD336" t="s">
        <v>456</v>
      </c>
    </row>
    <row r="337" spans="1:30">
      <c r="A337">
        <v>2110060372</v>
      </c>
      <c r="B337" t="s">
        <v>30</v>
      </c>
      <c r="C337" t="s">
        <v>31</v>
      </c>
      <c r="D337" t="s">
        <v>32</v>
      </c>
      <c r="E337" t="s">
        <v>112</v>
      </c>
      <c r="F337" t="s">
        <v>64</v>
      </c>
      <c r="G337" t="s">
        <v>99</v>
      </c>
      <c r="H337" t="s">
        <v>50</v>
      </c>
      <c r="I337" t="s">
        <v>469</v>
      </c>
      <c r="J337" t="s">
        <v>482</v>
      </c>
      <c r="K337" t="str">
        <f>"06-28-210500548"</f>
        <v>0</v>
      </c>
      <c r="L337">
        <v>36000</v>
      </c>
      <c r="M337"/>
      <c r="N337" t="s">
        <v>38</v>
      </c>
      <c r="O337" t="s">
        <v>38</v>
      </c>
      <c r="P337" t="s">
        <v>53</v>
      </c>
      <c r="Q337" t="s">
        <v>38</v>
      </c>
      <c r="R337" t="s">
        <v>38</v>
      </c>
      <c r="S337" t="s">
        <v>42</v>
      </c>
      <c r="T337" t="s">
        <v>42</v>
      </c>
      <c r="U337" t="s">
        <v>463</v>
      </c>
      <c r="V337" t="s">
        <v>44</v>
      </c>
      <c r="W337" t="s">
        <v>463</v>
      </c>
      <c r="X337" t="s">
        <v>45</v>
      </c>
      <c r="Y337" t="s">
        <v>481</v>
      </c>
      <c r="Z337" t="s">
        <v>47</v>
      </c>
      <c r="AA337"/>
      <c r="AB337"/>
      <c r="AC337"/>
      <c r="AD337" t="s">
        <v>456</v>
      </c>
    </row>
    <row r="338" spans="1:30">
      <c r="A338">
        <v>2110060373</v>
      </c>
      <c r="B338" t="s">
        <v>30</v>
      </c>
      <c r="C338" t="s">
        <v>31</v>
      </c>
      <c r="D338" t="s">
        <v>32</v>
      </c>
      <c r="E338" t="s">
        <v>112</v>
      </c>
      <c r="F338" t="s">
        <v>64</v>
      </c>
      <c r="G338" t="s">
        <v>99</v>
      </c>
      <c r="H338" t="s">
        <v>50</v>
      </c>
      <c r="I338" t="s">
        <v>469</v>
      </c>
      <c r="J338" t="s">
        <v>482</v>
      </c>
      <c r="K338" t="str">
        <f>"06-28-210500410"</f>
        <v>0</v>
      </c>
      <c r="L338">
        <v>36000</v>
      </c>
      <c r="M338"/>
      <c r="N338" t="s">
        <v>38</v>
      </c>
      <c r="O338" t="s">
        <v>38</v>
      </c>
      <c r="P338" t="s">
        <v>53</v>
      </c>
      <c r="Q338" t="s">
        <v>38</v>
      </c>
      <c r="R338" t="s">
        <v>38</v>
      </c>
      <c r="S338" t="s">
        <v>42</v>
      </c>
      <c r="T338" t="s">
        <v>42</v>
      </c>
      <c r="U338" t="s">
        <v>463</v>
      </c>
      <c r="V338" t="s">
        <v>44</v>
      </c>
      <c r="W338" t="s">
        <v>463</v>
      </c>
      <c r="X338" t="s">
        <v>45</v>
      </c>
      <c r="Y338" t="s">
        <v>481</v>
      </c>
      <c r="Z338" t="s">
        <v>47</v>
      </c>
      <c r="AA338"/>
      <c r="AB338"/>
      <c r="AC338"/>
      <c r="AD338" t="s">
        <v>456</v>
      </c>
    </row>
    <row r="339" spans="1:30">
      <c r="A339">
        <v>2110060374</v>
      </c>
      <c r="B339" t="s">
        <v>30</v>
      </c>
      <c r="C339" t="s">
        <v>31</v>
      </c>
      <c r="D339" t="s">
        <v>32</v>
      </c>
      <c r="E339" t="s">
        <v>112</v>
      </c>
      <c r="F339" t="s">
        <v>64</v>
      </c>
      <c r="G339" t="s">
        <v>99</v>
      </c>
      <c r="H339" t="s">
        <v>50</v>
      </c>
      <c r="I339" t="s">
        <v>469</v>
      </c>
      <c r="J339" t="s">
        <v>482</v>
      </c>
      <c r="K339" t="str">
        <f>"06-28-210500437"</f>
        <v>0</v>
      </c>
      <c r="L339">
        <v>36000</v>
      </c>
      <c r="M339"/>
      <c r="N339" t="s">
        <v>38</v>
      </c>
      <c r="O339" t="s">
        <v>38</v>
      </c>
      <c r="P339" t="s">
        <v>53</v>
      </c>
      <c r="Q339" t="s">
        <v>38</v>
      </c>
      <c r="R339" t="s">
        <v>38</v>
      </c>
      <c r="S339" t="s">
        <v>42</v>
      </c>
      <c r="T339" t="s">
        <v>42</v>
      </c>
      <c r="U339" t="s">
        <v>463</v>
      </c>
      <c r="V339" t="s">
        <v>44</v>
      </c>
      <c r="W339" t="s">
        <v>463</v>
      </c>
      <c r="X339" t="s">
        <v>45</v>
      </c>
      <c r="Y339" t="s">
        <v>481</v>
      </c>
      <c r="Z339" t="s">
        <v>47</v>
      </c>
      <c r="AA339"/>
      <c r="AB339"/>
      <c r="AC339"/>
      <c r="AD339" t="s">
        <v>456</v>
      </c>
    </row>
    <row r="340" spans="1:30">
      <c r="A340">
        <v>2110060375</v>
      </c>
      <c r="B340" t="s">
        <v>30</v>
      </c>
      <c r="C340" t="s">
        <v>31</v>
      </c>
      <c r="D340" t="s">
        <v>32</v>
      </c>
      <c r="E340" t="s">
        <v>112</v>
      </c>
      <c r="F340" t="s">
        <v>64</v>
      </c>
      <c r="G340" t="s">
        <v>99</v>
      </c>
      <c r="H340" t="s">
        <v>50</v>
      </c>
      <c r="I340" t="s">
        <v>102</v>
      </c>
      <c r="J340" t="s">
        <v>374</v>
      </c>
      <c r="K340" t="str">
        <f>"Ma21050561279"</f>
        <v>0</v>
      </c>
      <c r="L340">
        <v>77650</v>
      </c>
      <c r="M340"/>
      <c r="N340" t="s">
        <v>38</v>
      </c>
      <c r="O340" t="s">
        <v>38</v>
      </c>
      <c r="P340" t="s">
        <v>53</v>
      </c>
      <c r="Q340" t="s">
        <v>38</v>
      </c>
      <c r="R340" t="s">
        <v>38</v>
      </c>
      <c r="S340" t="s">
        <v>42</v>
      </c>
      <c r="T340" t="s">
        <v>42</v>
      </c>
      <c r="U340" t="s">
        <v>463</v>
      </c>
      <c r="V340" t="s">
        <v>44</v>
      </c>
      <c r="W340" t="s">
        <v>463</v>
      </c>
      <c r="X340" t="s">
        <v>45</v>
      </c>
      <c r="Y340" t="s">
        <v>481</v>
      </c>
      <c r="Z340" t="s">
        <v>47</v>
      </c>
      <c r="AA340"/>
      <c r="AB340"/>
      <c r="AC340"/>
      <c r="AD340" t="s">
        <v>456</v>
      </c>
    </row>
    <row r="341" spans="1:30">
      <c r="A341">
        <v>2110060376</v>
      </c>
      <c r="B341" t="s">
        <v>30</v>
      </c>
      <c r="C341" t="s">
        <v>31</v>
      </c>
      <c r="D341" t="s">
        <v>32</v>
      </c>
      <c r="E341" t="s">
        <v>112</v>
      </c>
      <c r="F341" t="s">
        <v>64</v>
      </c>
      <c r="G341" t="s">
        <v>99</v>
      </c>
      <c r="H341" t="s">
        <v>50</v>
      </c>
      <c r="I341" t="s">
        <v>102</v>
      </c>
      <c r="J341" t="s">
        <v>374</v>
      </c>
      <c r="K341" t="str">
        <f>"Ma21050561676"</f>
        <v>0</v>
      </c>
      <c r="L341">
        <v>77650</v>
      </c>
      <c r="M341"/>
      <c r="N341" t="s">
        <v>38</v>
      </c>
      <c r="O341" t="s">
        <v>38</v>
      </c>
      <c r="P341" t="s">
        <v>53</v>
      </c>
      <c r="Q341" t="s">
        <v>38</v>
      </c>
      <c r="R341" t="s">
        <v>38</v>
      </c>
      <c r="S341" t="s">
        <v>42</v>
      </c>
      <c r="T341" t="s">
        <v>42</v>
      </c>
      <c r="U341" t="s">
        <v>463</v>
      </c>
      <c r="V341" t="s">
        <v>44</v>
      </c>
      <c r="W341" t="s">
        <v>463</v>
      </c>
      <c r="X341" t="s">
        <v>45</v>
      </c>
      <c r="Y341" t="s">
        <v>481</v>
      </c>
      <c r="Z341" t="s">
        <v>47</v>
      </c>
      <c r="AA341"/>
      <c r="AB341"/>
      <c r="AC341"/>
      <c r="AD341" t="s">
        <v>456</v>
      </c>
    </row>
    <row r="342" spans="1:30">
      <c r="A342">
        <v>2110060377</v>
      </c>
      <c r="B342" t="s">
        <v>30</v>
      </c>
      <c r="C342" t="s">
        <v>31</v>
      </c>
      <c r="D342" t="s">
        <v>32</v>
      </c>
      <c r="E342" t="s">
        <v>112</v>
      </c>
      <c r="F342" t="s">
        <v>64</v>
      </c>
      <c r="G342" t="s">
        <v>99</v>
      </c>
      <c r="H342" t="s">
        <v>50</v>
      </c>
      <c r="I342" t="s">
        <v>102</v>
      </c>
      <c r="J342" t="s">
        <v>374</v>
      </c>
      <c r="K342" t="str">
        <f>"Ma21050561209"</f>
        <v>0</v>
      </c>
      <c r="L342">
        <v>77650</v>
      </c>
      <c r="M342"/>
      <c r="N342" t="s">
        <v>38</v>
      </c>
      <c r="O342" t="s">
        <v>38</v>
      </c>
      <c r="P342" t="s">
        <v>53</v>
      </c>
      <c r="Q342" t="s">
        <v>38</v>
      </c>
      <c r="R342" t="s">
        <v>38</v>
      </c>
      <c r="S342" t="s">
        <v>42</v>
      </c>
      <c r="T342" t="s">
        <v>42</v>
      </c>
      <c r="U342" t="s">
        <v>463</v>
      </c>
      <c r="V342" t="s">
        <v>44</v>
      </c>
      <c r="W342" t="s">
        <v>463</v>
      </c>
      <c r="X342" t="s">
        <v>45</v>
      </c>
      <c r="Y342" t="s">
        <v>481</v>
      </c>
      <c r="Z342" t="s">
        <v>47</v>
      </c>
      <c r="AA342"/>
      <c r="AB342"/>
      <c r="AC342"/>
      <c r="AD342" t="s">
        <v>456</v>
      </c>
    </row>
    <row r="343" spans="1:30">
      <c r="A343">
        <v>2110060378</v>
      </c>
      <c r="B343" t="s">
        <v>30</v>
      </c>
      <c r="C343" t="s">
        <v>31</v>
      </c>
      <c r="D343" t="s">
        <v>32</v>
      </c>
      <c r="E343" t="s">
        <v>112</v>
      </c>
      <c r="F343" t="s">
        <v>64</v>
      </c>
      <c r="G343" t="s">
        <v>99</v>
      </c>
      <c r="H343" t="s">
        <v>50</v>
      </c>
      <c r="I343" t="s">
        <v>102</v>
      </c>
      <c r="J343" t="s">
        <v>374</v>
      </c>
      <c r="K343" t="str">
        <f>"Ma21050561756"</f>
        <v>0</v>
      </c>
      <c r="L343">
        <v>77650</v>
      </c>
      <c r="M343"/>
      <c r="N343" t="s">
        <v>38</v>
      </c>
      <c r="O343" t="s">
        <v>38</v>
      </c>
      <c r="P343" t="s">
        <v>53</v>
      </c>
      <c r="Q343" t="s">
        <v>38</v>
      </c>
      <c r="R343" t="s">
        <v>38</v>
      </c>
      <c r="S343" t="s">
        <v>42</v>
      </c>
      <c r="T343" t="s">
        <v>42</v>
      </c>
      <c r="U343" t="s">
        <v>463</v>
      </c>
      <c r="V343" t="s">
        <v>44</v>
      </c>
      <c r="W343" t="s">
        <v>463</v>
      </c>
      <c r="X343" t="s">
        <v>45</v>
      </c>
      <c r="Y343" t="s">
        <v>481</v>
      </c>
      <c r="Z343" t="s">
        <v>47</v>
      </c>
      <c r="AA343"/>
      <c r="AB343"/>
      <c r="AC343"/>
      <c r="AD343" t="s">
        <v>456</v>
      </c>
    </row>
    <row r="344" spans="1:30">
      <c r="A344">
        <v>2110060379</v>
      </c>
      <c r="B344" t="s">
        <v>30</v>
      </c>
      <c r="C344" t="s">
        <v>31</v>
      </c>
      <c r="D344" t="s">
        <v>32</v>
      </c>
      <c r="E344" t="s">
        <v>112</v>
      </c>
      <c r="F344" t="s">
        <v>64</v>
      </c>
      <c r="G344" t="s">
        <v>99</v>
      </c>
      <c r="H344" t="s">
        <v>50</v>
      </c>
      <c r="I344" t="s">
        <v>102</v>
      </c>
      <c r="J344" t="s">
        <v>374</v>
      </c>
      <c r="K344" t="str">
        <f>"Ma21050561594"</f>
        <v>0</v>
      </c>
      <c r="L344">
        <v>77650</v>
      </c>
      <c r="M344"/>
      <c r="N344" t="s">
        <v>38</v>
      </c>
      <c r="O344" t="s">
        <v>38</v>
      </c>
      <c r="P344" t="s">
        <v>53</v>
      </c>
      <c r="Q344" t="s">
        <v>38</v>
      </c>
      <c r="R344" t="s">
        <v>38</v>
      </c>
      <c r="S344" t="s">
        <v>42</v>
      </c>
      <c r="T344" t="s">
        <v>42</v>
      </c>
      <c r="U344" t="s">
        <v>463</v>
      </c>
      <c r="V344" t="s">
        <v>44</v>
      </c>
      <c r="W344" t="s">
        <v>463</v>
      </c>
      <c r="X344" t="s">
        <v>45</v>
      </c>
      <c r="Y344" t="s">
        <v>481</v>
      </c>
      <c r="Z344" t="s">
        <v>47</v>
      </c>
      <c r="AA344"/>
      <c r="AB344"/>
      <c r="AC344"/>
      <c r="AD344" t="s">
        <v>456</v>
      </c>
    </row>
    <row r="345" spans="1:30">
      <c r="A345">
        <v>2110060380</v>
      </c>
      <c r="B345" t="s">
        <v>30</v>
      </c>
      <c r="C345" t="s">
        <v>31</v>
      </c>
      <c r="D345" t="s">
        <v>32</v>
      </c>
      <c r="E345" t="s">
        <v>112</v>
      </c>
      <c r="F345" t="s">
        <v>64</v>
      </c>
      <c r="G345" t="s">
        <v>99</v>
      </c>
      <c r="H345" t="s">
        <v>50</v>
      </c>
      <c r="I345" t="s">
        <v>102</v>
      </c>
      <c r="J345" t="s">
        <v>374</v>
      </c>
      <c r="K345" t="str">
        <f>"Ma21050561194"</f>
        <v>0</v>
      </c>
      <c r="L345">
        <v>77650</v>
      </c>
      <c r="M345"/>
      <c r="N345" t="s">
        <v>38</v>
      </c>
      <c r="O345" t="s">
        <v>38</v>
      </c>
      <c r="P345" t="s">
        <v>53</v>
      </c>
      <c r="Q345" t="s">
        <v>38</v>
      </c>
      <c r="R345" t="s">
        <v>38</v>
      </c>
      <c r="S345" t="s">
        <v>42</v>
      </c>
      <c r="T345" t="s">
        <v>42</v>
      </c>
      <c r="U345" t="s">
        <v>463</v>
      </c>
      <c r="V345" t="s">
        <v>44</v>
      </c>
      <c r="W345" t="s">
        <v>463</v>
      </c>
      <c r="X345" t="s">
        <v>45</v>
      </c>
      <c r="Y345" t="s">
        <v>481</v>
      </c>
      <c r="Z345" t="s">
        <v>47</v>
      </c>
      <c r="AA345"/>
      <c r="AB345"/>
      <c r="AC345"/>
      <c r="AD345" t="s">
        <v>456</v>
      </c>
    </row>
    <row r="346" spans="1:30">
      <c r="A346">
        <v>2110060381</v>
      </c>
      <c r="B346" t="s">
        <v>30</v>
      </c>
      <c r="C346" t="s">
        <v>31</v>
      </c>
      <c r="D346" t="s">
        <v>32</v>
      </c>
      <c r="E346" t="s">
        <v>112</v>
      </c>
      <c r="F346" t="s">
        <v>64</v>
      </c>
      <c r="G346" t="s">
        <v>99</v>
      </c>
      <c r="H346" t="s">
        <v>50</v>
      </c>
      <c r="I346" t="s">
        <v>466</v>
      </c>
      <c r="J346" t="s">
        <v>467</v>
      </c>
      <c r="K346" t="str">
        <f>"Dm210513464"</f>
        <v>0</v>
      </c>
      <c r="L346">
        <v>36000</v>
      </c>
      <c r="M346"/>
      <c r="N346" t="s">
        <v>38</v>
      </c>
      <c r="O346" t="s">
        <v>38</v>
      </c>
      <c r="P346" t="s">
        <v>53</v>
      </c>
      <c r="Q346" t="s">
        <v>38</v>
      </c>
      <c r="R346" t="s">
        <v>38</v>
      </c>
      <c r="S346" t="s">
        <v>42</v>
      </c>
      <c r="T346" t="s">
        <v>42</v>
      </c>
      <c r="U346" t="s">
        <v>463</v>
      </c>
      <c r="V346" t="s">
        <v>44</v>
      </c>
      <c r="W346" t="s">
        <v>463</v>
      </c>
      <c r="X346" t="s">
        <v>45</v>
      </c>
      <c r="Y346" t="s">
        <v>481</v>
      </c>
      <c r="Z346" t="s">
        <v>47</v>
      </c>
      <c r="AA346"/>
      <c r="AB346"/>
      <c r="AC346"/>
      <c r="AD346" t="s">
        <v>456</v>
      </c>
    </row>
    <row r="347" spans="1:30">
      <c r="A347">
        <v>2110060382</v>
      </c>
      <c r="B347" t="s">
        <v>30</v>
      </c>
      <c r="C347" t="s">
        <v>31</v>
      </c>
      <c r="D347" t="s">
        <v>32</v>
      </c>
      <c r="E347" t="s">
        <v>112</v>
      </c>
      <c r="F347" t="s">
        <v>64</v>
      </c>
      <c r="G347" t="s">
        <v>99</v>
      </c>
      <c r="H347" t="s">
        <v>50</v>
      </c>
      <c r="I347" t="s">
        <v>466</v>
      </c>
      <c r="J347" t="s">
        <v>467</v>
      </c>
      <c r="K347" t="str">
        <f>"Dm210513273"</f>
        <v>0</v>
      </c>
      <c r="L347">
        <v>36000</v>
      </c>
      <c r="M347"/>
      <c r="N347" t="s">
        <v>38</v>
      </c>
      <c r="O347" t="s">
        <v>38</v>
      </c>
      <c r="P347" t="s">
        <v>53</v>
      </c>
      <c r="Q347" t="s">
        <v>38</v>
      </c>
      <c r="R347" t="s">
        <v>38</v>
      </c>
      <c r="S347" t="s">
        <v>42</v>
      </c>
      <c r="T347" t="s">
        <v>42</v>
      </c>
      <c r="U347" t="s">
        <v>463</v>
      </c>
      <c r="V347" t="s">
        <v>44</v>
      </c>
      <c r="W347" t="s">
        <v>463</v>
      </c>
      <c r="X347" t="s">
        <v>45</v>
      </c>
      <c r="Y347" t="s">
        <v>481</v>
      </c>
      <c r="Z347" t="s">
        <v>47</v>
      </c>
      <c r="AA347"/>
      <c r="AB347"/>
      <c r="AC347"/>
      <c r="AD347" t="s">
        <v>456</v>
      </c>
    </row>
    <row r="348" spans="1:30">
      <c r="A348">
        <v>2110060383</v>
      </c>
      <c r="B348" t="s">
        <v>30</v>
      </c>
      <c r="C348" t="s">
        <v>31</v>
      </c>
      <c r="D348" t="s">
        <v>32</v>
      </c>
      <c r="E348" t="s">
        <v>112</v>
      </c>
      <c r="F348" t="s">
        <v>64</v>
      </c>
      <c r="G348" t="s">
        <v>99</v>
      </c>
      <c r="H348" t="s">
        <v>50</v>
      </c>
      <c r="I348" t="s">
        <v>466</v>
      </c>
      <c r="J348" t="s">
        <v>505</v>
      </c>
      <c r="K348" t="str">
        <f>"Dm210513268"</f>
        <v>0</v>
      </c>
      <c r="L348">
        <v>36000</v>
      </c>
      <c r="M348"/>
      <c r="N348" t="s">
        <v>38</v>
      </c>
      <c r="O348" t="s">
        <v>38</v>
      </c>
      <c r="P348" t="s">
        <v>53</v>
      </c>
      <c r="Q348" t="s">
        <v>38</v>
      </c>
      <c r="R348" t="s">
        <v>38</v>
      </c>
      <c r="S348" t="s">
        <v>42</v>
      </c>
      <c r="T348" t="s">
        <v>42</v>
      </c>
      <c r="U348" t="s">
        <v>463</v>
      </c>
      <c r="V348" t="s">
        <v>44</v>
      </c>
      <c r="W348" t="s">
        <v>463</v>
      </c>
      <c r="X348" t="s">
        <v>45</v>
      </c>
      <c r="Y348" t="s">
        <v>481</v>
      </c>
      <c r="Z348" t="s">
        <v>47</v>
      </c>
      <c r="AA348"/>
      <c r="AB348"/>
      <c r="AC348"/>
      <c r="AD348" t="s">
        <v>456</v>
      </c>
    </row>
    <row r="349" spans="1:30">
      <c r="A349">
        <v>2110060384</v>
      </c>
      <c r="B349" t="s">
        <v>30</v>
      </c>
      <c r="C349" t="s">
        <v>31</v>
      </c>
      <c r="D349" t="s">
        <v>32</v>
      </c>
      <c r="E349" t="s">
        <v>112</v>
      </c>
      <c r="F349" t="s">
        <v>64</v>
      </c>
      <c r="G349" t="s">
        <v>99</v>
      </c>
      <c r="H349" t="s">
        <v>50</v>
      </c>
      <c r="I349" t="s">
        <v>466</v>
      </c>
      <c r="J349" t="s">
        <v>505</v>
      </c>
      <c r="K349" t="str">
        <f>"Dm210513345"</f>
        <v>0</v>
      </c>
      <c r="L349">
        <v>36000</v>
      </c>
      <c r="M349"/>
      <c r="N349" t="s">
        <v>38</v>
      </c>
      <c r="O349" t="s">
        <v>38</v>
      </c>
      <c r="P349" t="s">
        <v>53</v>
      </c>
      <c r="Q349" t="s">
        <v>38</v>
      </c>
      <c r="R349" t="s">
        <v>38</v>
      </c>
      <c r="S349" t="s">
        <v>42</v>
      </c>
      <c r="T349" t="s">
        <v>42</v>
      </c>
      <c r="U349" t="s">
        <v>463</v>
      </c>
      <c r="V349" t="s">
        <v>44</v>
      </c>
      <c r="W349" t="s">
        <v>463</v>
      </c>
      <c r="X349" t="s">
        <v>45</v>
      </c>
      <c r="Y349" t="s">
        <v>481</v>
      </c>
      <c r="Z349" t="s">
        <v>47</v>
      </c>
      <c r="AA349"/>
      <c r="AB349"/>
      <c r="AC349"/>
      <c r="AD349" t="s">
        <v>456</v>
      </c>
    </row>
    <row r="350" spans="1:30">
      <c r="A350">
        <v>2110060385</v>
      </c>
      <c r="B350" t="s">
        <v>30</v>
      </c>
      <c r="C350" t="s">
        <v>31</v>
      </c>
      <c r="D350" t="s">
        <v>32</v>
      </c>
      <c r="E350" t="s">
        <v>112</v>
      </c>
      <c r="F350" t="s">
        <v>64</v>
      </c>
      <c r="G350" t="s">
        <v>99</v>
      </c>
      <c r="H350" t="s">
        <v>50</v>
      </c>
      <c r="I350" t="s">
        <v>466</v>
      </c>
      <c r="J350" t="s">
        <v>505</v>
      </c>
      <c r="K350" t="str">
        <f>"Dm210513249"</f>
        <v>0</v>
      </c>
      <c r="L350">
        <v>36000</v>
      </c>
      <c r="M350"/>
      <c r="N350" t="s">
        <v>38</v>
      </c>
      <c r="O350" t="s">
        <v>38</v>
      </c>
      <c r="P350" t="s">
        <v>53</v>
      </c>
      <c r="Q350" t="s">
        <v>38</v>
      </c>
      <c r="R350" t="s">
        <v>38</v>
      </c>
      <c r="S350" t="s">
        <v>42</v>
      </c>
      <c r="T350" t="s">
        <v>42</v>
      </c>
      <c r="U350" t="s">
        <v>463</v>
      </c>
      <c r="V350" t="s">
        <v>44</v>
      </c>
      <c r="W350" t="s">
        <v>463</v>
      </c>
      <c r="X350" t="s">
        <v>45</v>
      </c>
      <c r="Y350" t="s">
        <v>481</v>
      </c>
      <c r="Z350" t="s">
        <v>47</v>
      </c>
      <c r="AA350"/>
      <c r="AB350"/>
      <c r="AC350"/>
      <c r="AD350" t="s">
        <v>456</v>
      </c>
    </row>
    <row r="351" spans="1:30">
      <c r="A351">
        <v>2110060386</v>
      </c>
      <c r="B351" t="s">
        <v>30</v>
      </c>
      <c r="C351" t="s">
        <v>31</v>
      </c>
      <c r="D351" t="s">
        <v>32</v>
      </c>
      <c r="E351" t="s">
        <v>112</v>
      </c>
      <c r="F351" t="s">
        <v>64</v>
      </c>
      <c r="G351" t="s">
        <v>99</v>
      </c>
      <c r="H351" t="s">
        <v>50</v>
      </c>
      <c r="I351" t="s">
        <v>466</v>
      </c>
      <c r="J351" t="s">
        <v>505</v>
      </c>
      <c r="K351" t="str">
        <f>"Dm210513318"</f>
        <v>0</v>
      </c>
      <c r="L351">
        <v>36000</v>
      </c>
      <c r="M351"/>
      <c r="N351" t="s">
        <v>38</v>
      </c>
      <c r="O351" t="s">
        <v>38</v>
      </c>
      <c r="P351" t="s">
        <v>53</v>
      </c>
      <c r="Q351" t="s">
        <v>38</v>
      </c>
      <c r="R351" t="s">
        <v>38</v>
      </c>
      <c r="S351" t="s">
        <v>42</v>
      </c>
      <c r="T351" t="s">
        <v>42</v>
      </c>
      <c r="U351" t="s">
        <v>463</v>
      </c>
      <c r="V351" t="s">
        <v>44</v>
      </c>
      <c r="W351" t="s">
        <v>463</v>
      </c>
      <c r="X351" t="s">
        <v>45</v>
      </c>
      <c r="Y351" t="s">
        <v>481</v>
      </c>
      <c r="Z351" t="s">
        <v>47</v>
      </c>
      <c r="AA351"/>
      <c r="AB351"/>
      <c r="AC351"/>
      <c r="AD351" t="s">
        <v>456</v>
      </c>
    </row>
    <row r="352" spans="1:30">
      <c r="A352">
        <v>2110060388</v>
      </c>
      <c r="B352" t="s">
        <v>30</v>
      </c>
      <c r="C352" t="s">
        <v>31</v>
      </c>
      <c r="D352" t="s">
        <v>32</v>
      </c>
      <c r="E352" t="s">
        <v>112</v>
      </c>
      <c r="F352" t="s">
        <v>64</v>
      </c>
      <c r="G352" t="s">
        <v>99</v>
      </c>
      <c r="H352" t="s">
        <v>50</v>
      </c>
      <c r="I352" t="s">
        <v>466</v>
      </c>
      <c r="J352" t="s">
        <v>505</v>
      </c>
      <c r="K352" t="str">
        <f>"Dm210513384"</f>
        <v>0</v>
      </c>
      <c r="L352">
        <v>36000</v>
      </c>
      <c r="M352"/>
      <c r="N352" t="s">
        <v>38</v>
      </c>
      <c r="O352" t="s">
        <v>38</v>
      </c>
      <c r="P352" t="s">
        <v>53</v>
      </c>
      <c r="Q352" t="s">
        <v>38</v>
      </c>
      <c r="R352" t="s">
        <v>38</v>
      </c>
      <c r="S352" t="s">
        <v>42</v>
      </c>
      <c r="T352" t="s">
        <v>42</v>
      </c>
      <c r="U352" t="s">
        <v>463</v>
      </c>
      <c r="V352" t="s">
        <v>44</v>
      </c>
      <c r="W352" t="s">
        <v>463</v>
      </c>
      <c r="X352" t="s">
        <v>45</v>
      </c>
      <c r="Y352" t="s">
        <v>455</v>
      </c>
      <c r="Z352" t="s">
        <v>47</v>
      </c>
      <c r="AA352"/>
      <c r="AB352"/>
      <c r="AC352"/>
      <c r="AD352"/>
    </row>
    <row r="353" spans="1:30">
      <c r="A353">
        <v>2110060389</v>
      </c>
      <c r="B353" t="s">
        <v>30</v>
      </c>
      <c r="C353" t="s">
        <v>31</v>
      </c>
      <c r="D353" t="s">
        <v>32</v>
      </c>
      <c r="E353" t="s">
        <v>112</v>
      </c>
      <c r="F353" t="s">
        <v>64</v>
      </c>
      <c r="G353" t="s">
        <v>99</v>
      </c>
      <c r="H353" t="s">
        <v>50</v>
      </c>
      <c r="I353" t="s">
        <v>466</v>
      </c>
      <c r="J353" t="s">
        <v>505</v>
      </c>
      <c r="K353" t="str">
        <f>"Dm210513243"</f>
        <v>0</v>
      </c>
      <c r="L353">
        <v>36000</v>
      </c>
      <c r="M353"/>
      <c r="N353" t="s">
        <v>38</v>
      </c>
      <c r="O353" t="s">
        <v>38</v>
      </c>
      <c r="P353" t="s">
        <v>53</v>
      </c>
      <c r="Q353" t="s">
        <v>38</v>
      </c>
      <c r="R353" t="s">
        <v>38</v>
      </c>
      <c r="S353" t="s">
        <v>42</v>
      </c>
      <c r="T353" t="s">
        <v>42</v>
      </c>
      <c r="U353" t="s">
        <v>463</v>
      </c>
      <c r="V353" t="s">
        <v>395</v>
      </c>
      <c r="W353" t="s">
        <v>463</v>
      </c>
      <c r="X353" t="s">
        <v>45</v>
      </c>
      <c r="Y353" t="s">
        <v>455</v>
      </c>
      <c r="Z353" t="s">
        <v>47</v>
      </c>
      <c r="AA353"/>
      <c r="AB353"/>
      <c r="AC353"/>
      <c r="AD353" t="s">
        <v>456</v>
      </c>
    </row>
    <row r="354" spans="1:30">
      <c r="A354">
        <v>2110060390</v>
      </c>
      <c r="B354" t="s">
        <v>30</v>
      </c>
      <c r="C354" t="s">
        <v>31</v>
      </c>
      <c r="D354" t="s">
        <v>32</v>
      </c>
      <c r="E354" t="s">
        <v>112</v>
      </c>
      <c r="F354" t="s">
        <v>64</v>
      </c>
      <c r="G354" t="s">
        <v>99</v>
      </c>
      <c r="H354" t="s">
        <v>50</v>
      </c>
      <c r="I354" t="s">
        <v>466</v>
      </c>
      <c r="J354" t="s">
        <v>505</v>
      </c>
      <c r="K354" t="str">
        <f>"dm 210513374"</f>
        <v>0</v>
      </c>
      <c r="L354">
        <v>36000</v>
      </c>
      <c r="M354"/>
      <c r="N354" t="s">
        <v>38</v>
      </c>
      <c r="O354" t="s">
        <v>38</v>
      </c>
      <c r="P354" t="s">
        <v>53</v>
      </c>
      <c r="Q354" t="s">
        <v>38</v>
      </c>
      <c r="R354" t="s">
        <v>38</v>
      </c>
      <c r="S354" t="s">
        <v>42</v>
      </c>
      <c r="T354" t="s">
        <v>42</v>
      </c>
      <c r="U354" t="s">
        <v>463</v>
      </c>
      <c r="V354" t="s">
        <v>44</v>
      </c>
      <c r="W354" t="s">
        <v>463</v>
      </c>
      <c r="X354" t="s">
        <v>45</v>
      </c>
      <c r="Y354" t="s">
        <v>455</v>
      </c>
      <c r="Z354" t="s">
        <v>47</v>
      </c>
      <c r="AA354"/>
      <c r="AB354"/>
      <c r="AC354"/>
      <c r="AD354"/>
    </row>
    <row r="355" spans="1:30">
      <c r="A355">
        <v>2110060391</v>
      </c>
      <c r="B355" t="s">
        <v>30</v>
      </c>
      <c r="C355" t="s">
        <v>31</v>
      </c>
      <c r="D355" t="s">
        <v>32</v>
      </c>
      <c r="E355" t="s">
        <v>112</v>
      </c>
      <c r="F355" t="s">
        <v>64</v>
      </c>
      <c r="G355" t="s">
        <v>99</v>
      </c>
      <c r="H355" t="s">
        <v>50</v>
      </c>
      <c r="I355" t="s">
        <v>466</v>
      </c>
      <c r="J355" t="s">
        <v>505</v>
      </c>
      <c r="K355" t="str">
        <f>"Dm210513377"</f>
        <v>0</v>
      </c>
      <c r="L355">
        <v>36000</v>
      </c>
      <c r="M355"/>
      <c r="N355" t="s">
        <v>38</v>
      </c>
      <c r="O355" t="s">
        <v>38</v>
      </c>
      <c r="P355" t="s">
        <v>53</v>
      </c>
      <c r="Q355" t="s">
        <v>38</v>
      </c>
      <c r="R355" t="s">
        <v>38</v>
      </c>
      <c r="S355" t="s">
        <v>42</v>
      </c>
      <c r="T355" t="s">
        <v>42</v>
      </c>
      <c r="U355" t="s">
        <v>463</v>
      </c>
      <c r="V355" t="s">
        <v>395</v>
      </c>
      <c r="W355" t="s">
        <v>463</v>
      </c>
      <c r="X355" t="s">
        <v>45</v>
      </c>
      <c r="Y355" t="s">
        <v>455</v>
      </c>
      <c r="Z355" t="s">
        <v>47</v>
      </c>
      <c r="AA355"/>
      <c r="AB355"/>
      <c r="AC355"/>
      <c r="AD355" t="s">
        <v>456</v>
      </c>
    </row>
    <row r="356" spans="1:30">
      <c r="A356">
        <v>2110060393</v>
      </c>
      <c r="B356" t="s">
        <v>30</v>
      </c>
      <c r="C356" t="s">
        <v>31</v>
      </c>
      <c r="D356" t="s">
        <v>32</v>
      </c>
      <c r="E356" t="s">
        <v>112</v>
      </c>
      <c r="F356" t="s">
        <v>64</v>
      </c>
      <c r="G356" t="s">
        <v>99</v>
      </c>
      <c r="H356" t="s">
        <v>50</v>
      </c>
      <c r="I356" t="s">
        <v>466</v>
      </c>
      <c r="J356" t="s">
        <v>505</v>
      </c>
      <c r="K356" t="str">
        <f>"Dm210513396"</f>
        <v>0</v>
      </c>
      <c r="L356">
        <v>36000</v>
      </c>
      <c r="M356"/>
      <c r="N356" t="s">
        <v>38</v>
      </c>
      <c r="O356" t="s">
        <v>38</v>
      </c>
      <c r="P356" t="s">
        <v>53</v>
      </c>
      <c r="Q356" t="s">
        <v>38</v>
      </c>
      <c r="R356" t="s">
        <v>38</v>
      </c>
      <c r="S356" t="s">
        <v>42</v>
      </c>
      <c r="T356" t="s">
        <v>42</v>
      </c>
      <c r="U356" t="s">
        <v>463</v>
      </c>
      <c r="V356" t="s">
        <v>395</v>
      </c>
      <c r="W356" t="s">
        <v>463</v>
      </c>
      <c r="X356" t="s">
        <v>45</v>
      </c>
      <c r="Y356" t="s">
        <v>455</v>
      </c>
      <c r="Z356" t="s">
        <v>47</v>
      </c>
      <c r="AA356"/>
      <c r="AB356"/>
      <c r="AC356"/>
      <c r="AD356" t="s">
        <v>456</v>
      </c>
    </row>
    <row r="357" spans="1:30">
      <c r="A357">
        <v>2110060392</v>
      </c>
      <c r="B357" t="s">
        <v>30</v>
      </c>
      <c r="C357" t="s">
        <v>31</v>
      </c>
      <c r="D357" t="s">
        <v>32</v>
      </c>
      <c r="E357" t="s">
        <v>112</v>
      </c>
      <c r="F357" t="s">
        <v>64</v>
      </c>
      <c r="G357" t="s">
        <v>99</v>
      </c>
      <c r="H357" t="s">
        <v>50</v>
      </c>
      <c r="I357" t="s">
        <v>466</v>
      </c>
      <c r="J357" t="s">
        <v>505</v>
      </c>
      <c r="K357" t="str">
        <f>"Dm 210513479"</f>
        <v>0</v>
      </c>
      <c r="L357">
        <v>36000</v>
      </c>
      <c r="M357"/>
      <c r="N357" t="s">
        <v>38</v>
      </c>
      <c r="O357" t="s">
        <v>38</v>
      </c>
      <c r="P357" t="s">
        <v>53</v>
      </c>
      <c r="Q357" t="s">
        <v>38</v>
      </c>
      <c r="R357" t="s">
        <v>38</v>
      </c>
      <c r="S357" t="s">
        <v>42</v>
      </c>
      <c r="T357" t="s">
        <v>42</v>
      </c>
      <c r="U357" t="s">
        <v>463</v>
      </c>
      <c r="V357" t="s">
        <v>44</v>
      </c>
      <c r="W357" t="s">
        <v>463</v>
      </c>
      <c r="X357" t="s">
        <v>45</v>
      </c>
      <c r="Y357" t="s">
        <v>455</v>
      </c>
      <c r="Z357" t="s">
        <v>47</v>
      </c>
      <c r="AA357"/>
      <c r="AB357"/>
      <c r="AC357"/>
      <c r="AD357"/>
    </row>
    <row r="358" spans="1:30">
      <c r="A358">
        <v>2110060394</v>
      </c>
      <c r="B358" t="s">
        <v>30</v>
      </c>
      <c r="C358" t="s">
        <v>31</v>
      </c>
      <c r="D358" t="s">
        <v>32</v>
      </c>
      <c r="E358" t="s">
        <v>112</v>
      </c>
      <c r="F358" t="s">
        <v>64</v>
      </c>
      <c r="G358" t="s">
        <v>99</v>
      </c>
      <c r="H358" t="s">
        <v>50</v>
      </c>
      <c r="I358" t="s">
        <v>466</v>
      </c>
      <c r="J358" t="s">
        <v>505</v>
      </c>
      <c r="K358" t="str">
        <f>"Dm210513335"</f>
        <v>0</v>
      </c>
      <c r="L358">
        <v>36000</v>
      </c>
      <c r="M358"/>
      <c r="N358" t="s">
        <v>38</v>
      </c>
      <c r="O358" t="s">
        <v>38</v>
      </c>
      <c r="P358" t="s">
        <v>53</v>
      </c>
      <c r="Q358" t="s">
        <v>38</v>
      </c>
      <c r="R358" t="s">
        <v>38</v>
      </c>
      <c r="S358" t="s">
        <v>42</v>
      </c>
      <c r="T358" t="s">
        <v>42</v>
      </c>
      <c r="U358" t="s">
        <v>463</v>
      </c>
      <c r="V358" t="s">
        <v>395</v>
      </c>
      <c r="W358" t="s">
        <v>463</v>
      </c>
      <c r="X358" t="s">
        <v>45</v>
      </c>
      <c r="Y358" t="s">
        <v>455</v>
      </c>
      <c r="Z358" t="s">
        <v>47</v>
      </c>
      <c r="AA358"/>
      <c r="AB358"/>
      <c r="AC358"/>
      <c r="AD358" t="s">
        <v>456</v>
      </c>
    </row>
    <row r="359" spans="1:30">
      <c r="A359">
        <v>2110060396</v>
      </c>
      <c r="B359" t="s">
        <v>30</v>
      </c>
      <c r="C359" t="s">
        <v>31</v>
      </c>
      <c r="D359" t="s">
        <v>32</v>
      </c>
      <c r="E359" t="s">
        <v>112</v>
      </c>
      <c r="F359" t="s">
        <v>64</v>
      </c>
      <c r="G359" t="s">
        <v>99</v>
      </c>
      <c r="H359" t="s">
        <v>50</v>
      </c>
      <c r="I359" t="s">
        <v>466</v>
      </c>
      <c r="J359" t="s">
        <v>505</v>
      </c>
      <c r="K359" t="str">
        <f>"Dm210513465"</f>
        <v>0</v>
      </c>
      <c r="L359">
        <v>36000</v>
      </c>
      <c r="M359"/>
      <c r="N359" t="s">
        <v>38</v>
      </c>
      <c r="O359" t="s">
        <v>38</v>
      </c>
      <c r="P359" t="s">
        <v>53</v>
      </c>
      <c r="Q359" t="s">
        <v>38</v>
      </c>
      <c r="R359" t="s">
        <v>38</v>
      </c>
      <c r="S359" t="s">
        <v>42</v>
      </c>
      <c r="T359" t="s">
        <v>42</v>
      </c>
      <c r="U359" t="s">
        <v>463</v>
      </c>
      <c r="V359" t="s">
        <v>395</v>
      </c>
      <c r="W359" t="s">
        <v>463</v>
      </c>
      <c r="X359" t="s">
        <v>45</v>
      </c>
      <c r="Y359" t="s">
        <v>455</v>
      </c>
      <c r="Z359" t="s">
        <v>47</v>
      </c>
      <c r="AA359"/>
      <c r="AB359"/>
      <c r="AC359"/>
      <c r="AD359" t="s">
        <v>456</v>
      </c>
    </row>
    <row r="360" spans="1:30">
      <c r="A360">
        <v>2110060395</v>
      </c>
      <c r="B360" t="s">
        <v>30</v>
      </c>
      <c r="C360" t="s">
        <v>31</v>
      </c>
      <c r="D360" t="s">
        <v>32</v>
      </c>
      <c r="E360" t="s">
        <v>112</v>
      </c>
      <c r="F360" t="s">
        <v>64</v>
      </c>
      <c r="G360" t="s">
        <v>99</v>
      </c>
      <c r="H360" t="s">
        <v>50</v>
      </c>
      <c r="I360" t="s">
        <v>466</v>
      </c>
      <c r="J360" t="s">
        <v>505</v>
      </c>
      <c r="K360" t="str">
        <f>"Dm210513476"</f>
        <v>0</v>
      </c>
      <c r="L360">
        <v>36000</v>
      </c>
      <c r="M360"/>
      <c r="N360" t="s">
        <v>38</v>
      </c>
      <c r="O360" t="s">
        <v>38</v>
      </c>
      <c r="P360" t="s">
        <v>53</v>
      </c>
      <c r="Q360" t="s">
        <v>38</v>
      </c>
      <c r="R360" t="s">
        <v>38</v>
      </c>
      <c r="S360" t="s">
        <v>42</v>
      </c>
      <c r="T360" t="s">
        <v>42</v>
      </c>
      <c r="U360" t="s">
        <v>463</v>
      </c>
      <c r="V360" t="s">
        <v>44</v>
      </c>
      <c r="W360" t="s">
        <v>463</v>
      </c>
      <c r="X360" t="s">
        <v>45</v>
      </c>
      <c r="Y360" t="s">
        <v>455</v>
      </c>
      <c r="Z360" t="s">
        <v>47</v>
      </c>
      <c r="AA360"/>
      <c r="AB360"/>
      <c r="AC360"/>
      <c r="AD360"/>
    </row>
    <row r="361" spans="1:30">
      <c r="A361">
        <v>2110060397</v>
      </c>
      <c r="B361" t="s">
        <v>30</v>
      </c>
      <c r="C361" t="s">
        <v>31</v>
      </c>
      <c r="D361" t="s">
        <v>32</v>
      </c>
      <c r="E361" t="s">
        <v>112</v>
      </c>
      <c r="F361" t="s">
        <v>64</v>
      </c>
      <c r="G361" t="s">
        <v>99</v>
      </c>
      <c r="H361" t="s">
        <v>50</v>
      </c>
      <c r="I361" t="s">
        <v>466</v>
      </c>
      <c r="J361" t="s">
        <v>505</v>
      </c>
      <c r="K361" t="str">
        <f>"Dm210513415"</f>
        <v>0</v>
      </c>
      <c r="L361">
        <v>36000</v>
      </c>
      <c r="M361"/>
      <c r="N361" t="s">
        <v>38</v>
      </c>
      <c r="O361" t="s">
        <v>38</v>
      </c>
      <c r="P361" t="s">
        <v>53</v>
      </c>
      <c r="Q361" t="s">
        <v>38</v>
      </c>
      <c r="R361" t="s">
        <v>38</v>
      </c>
      <c r="S361" t="s">
        <v>42</v>
      </c>
      <c r="T361" t="s">
        <v>42</v>
      </c>
      <c r="U361" t="s">
        <v>463</v>
      </c>
      <c r="V361" t="s">
        <v>395</v>
      </c>
      <c r="W361" t="s">
        <v>463</v>
      </c>
      <c r="X361" t="s">
        <v>45</v>
      </c>
      <c r="Y361" t="s">
        <v>455</v>
      </c>
      <c r="Z361" t="s">
        <v>47</v>
      </c>
      <c r="AA361"/>
      <c r="AB361"/>
      <c r="AC361"/>
      <c r="AD361" t="s">
        <v>456</v>
      </c>
    </row>
    <row r="362" spans="1:30">
      <c r="A362">
        <v>2110060398</v>
      </c>
      <c r="B362" t="s">
        <v>30</v>
      </c>
      <c r="C362" t="s">
        <v>31</v>
      </c>
      <c r="D362" t="s">
        <v>32</v>
      </c>
      <c r="E362" t="s">
        <v>112</v>
      </c>
      <c r="F362" t="s">
        <v>64</v>
      </c>
      <c r="G362" t="s">
        <v>99</v>
      </c>
      <c r="H362" t="s">
        <v>50</v>
      </c>
      <c r="I362" t="s">
        <v>466</v>
      </c>
      <c r="J362" t="s">
        <v>505</v>
      </c>
      <c r="K362" t="str">
        <f>"Dm210513337"</f>
        <v>0</v>
      </c>
      <c r="L362">
        <v>36000</v>
      </c>
      <c r="M362"/>
      <c r="N362" t="s">
        <v>38</v>
      </c>
      <c r="O362" t="s">
        <v>38</v>
      </c>
      <c r="P362" t="s">
        <v>53</v>
      </c>
      <c r="Q362" t="s">
        <v>38</v>
      </c>
      <c r="R362" t="s">
        <v>38</v>
      </c>
      <c r="S362" t="s">
        <v>42</v>
      </c>
      <c r="T362" t="s">
        <v>42</v>
      </c>
      <c r="U362" t="s">
        <v>463</v>
      </c>
      <c r="V362" t="s">
        <v>44</v>
      </c>
      <c r="W362" t="s">
        <v>463</v>
      </c>
      <c r="X362" t="s">
        <v>45</v>
      </c>
      <c r="Y362" t="s">
        <v>455</v>
      </c>
      <c r="Z362" t="s">
        <v>47</v>
      </c>
      <c r="AA362"/>
      <c r="AB362"/>
      <c r="AC362"/>
      <c r="AD362"/>
    </row>
    <row r="363" spans="1:30">
      <c r="A363">
        <v>2110060399</v>
      </c>
      <c r="B363" t="s">
        <v>30</v>
      </c>
      <c r="C363" t="s">
        <v>31</v>
      </c>
      <c r="D363" t="s">
        <v>32</v>
      </c>
      <c r="E363" t="s">
        <v>112</v>
      </c>
      <c r="F363" t="s">
        <v>64</v>
      </c>
      <c r="G363" t="s">
        <v>99</v>
      </c>
      <c r="H363" t="s">
        <v>50</v>
      </c>
      <c r="I363" t="s">
        <v>466</v>
      </c>
      <c r="J363" t="s">
        <v>505</v>
      </c>
      <c r="K363" t="str">
        <f>"Dm210513245"</f>
        <v>0</v>
      </c>
      <c r="L363">
        <v>36000</v>
      </c>
      <c r="M363"/>
      <c r="N363" t="s">
        <v>38</v>
      </c>
      <c r="O363" t="s">
        <v>38</v>
      </c>
      <c r="P363" t="s">
        <v>53</v>
      </c>
      <c r="Q363" t="s">
        <v>38</v>
      </c>
      <c r="R363" t="s">
        <v>38</v>
      </c>
      <c r="S363" t="s">
        <v>42</v>
      </c>
      <c r="T363" t="s">
        <v>42</v>
      </c>
      <c r="U363" t="s">
        <v>463</v>
      </c>
      <c r="V363" t="s">
        <v>44</v>
      </c>
      <c r="W363" t="s">
        <v>463</v>
      </c>
      <c r="X363" t="s">
        <v>45</v>
      </c>
      <c r="Y363" t="s">
        <v>455</v>
      </c>
      <c r="Z363" t="s">
        <v>47</v>
      </c>
      <c r="AA363"/>
      <c r="AB363"/>
      <c r="AC363"/>
      <c r="AD363"/>
    </row>
    <row r="364" spans="1:30">
      <c r="A364">
        <v>2110060400</v>
      </c>
      <c r="B364" t="s">
        <v>30</v>
      </c>
      <c r="C364" t="s">
        <v>31</v>
      </c>
      <c r="D364" t="s">
        <v>32</v>
      </c>
      <c r="E364" t="s">
        <v>112</v>
      </c>
      <c r="F364" t="s">
        <v>64</v>
      </c>
      <c r="G364" t="s">
        <v>99</v>
      </c>
      <c r="H364" t="s">
        <v>50</v>
      </c>
      <c r="I364" t="s">
        <v>466</v>
      </c>
      <c r="J364" t="s">
        <v>505</v>
      </c>
      <c r="K364" t="str">
        <f>"dm210513404"</f>
        <v>0</v>
      </c>
      <c r="L364">
        <v>36000</v>
      </c>
      <c r="M364"/>
      <c r="N364" t="s">
        <v>38</v>
      </c>
      <c r="O364" t="s">
        <v>38</v>
      </c>
      <c r="P364" t="s">
        <v>53</v>
      </c>
      <c r="Q364" t="s">
        <v>38</v>
      </c>
      <c r="R364" t="s">
        <v>38</v>
      </c>
      <c r="S364" t="s">
        <v>42</v>
      </c>
      <c r="T364" t="s">
        <v>42</v>
      </c>
      <c r="U364" t="s">
        <v>463</v>
      </c>
      <c r="V364" t="s">
        <v>44</v>
      </c>
      <c r="W364" t="s">
        <v>463</v>
      </c>
      <c r="X364" t="s">
        <v>45</v>
      </c>
      <c r="Y364" t="s">
        <v>455</v>
      </c>
      <c r="Z364" t="s">
        <v>47</v>
      </c>
      <c r="AA364"/>
      <c r="AB364"/>
      <c r="AC364"/>
      <c r="AD364"/>
    </row>
    <row r="365" spans="1:30">
      <c r="A365">
        <v>2110060401</v>
      </c>
      <c r="B365" t="s">
        <v>30</v>
      </c>
      <c r="C365" t="s">
        <v>31</v>
      </c>
      <c r="D365" t="s">
        <v>32</v>
      </c>
      <c r="E365" t="s">
        <v>112</v>
      </c>
      <c r="F365" t="s">
        <v>64</v>
      </c>
      <c r="G365" t="s">
        <v>99</v>
      </c>
      <c r="H365" t="s">
        <v>50</v>
      </c>
      <c r="I365" t="s">
        <v>506</v>
      </c>
      <c r="J365" t="s">
        <v>507</v>
      </c>
      <c r="K365" t="str">
        <f>"cbb6921020063"</f>
        <v>0</v>
      </c>
      <c r="L365">
        <v>36000</v>
      </c>
      <c r="M365"/>
      <c r="N365" t="s">
        <v>38</v>
      </c>
      <c r="O365" t="s">
        <v>38</v>
      </c>
      <c r="P365" t="s">
        <v>53</v>
      </c>
      <c r="Q365" t="s">
        <v>38</v>
      </c>
      <c r="R365" t="s">
        <v>38</v>
      </c>
      <c r="S365" t="s">
        <v>42</v>
      </c>
      <c r="T365" t="s">
        <v>42</v>
      </c>
      <c r="U365" t="s">
        <v>463</v>
      </c>
      <c r="V365" t="s">
        <v>395</v>
      </c>
      <c r="W365" t="s">
        <v>463</v>
      </c>
      <c r="X365" t="s">
        <v>45</v>
      </c>
      <c r="Y365" t="s">
        <v>455</v>
      </c>
      <c r="Z365" t="s">
        <v>47</v>
      </c>
      <c r="AA365"/>
      <c r="AB365"/>
      <c r="AC365"/>
      <c r="AD365" t="s">
        <v>456</v>
      </c>
    </row>
    <row r="366" spans="1:30">
      <c r="A366">
        <v>2110060402</v>
      </c>
      <c r="B366" t="s">
        <v>30</v>
      </c>
      <c r="C366" t="s">
        <v>31</v>
      </c>
      <c r="D366" t="s">
        <v>32</v>
      </c>
      <c r="E366" t="s">
        <v>112</v>
      </c>
      <c r="F366" t="s">
        <v>64</v>
      </c>
      <c r="G366" t="s">
        <v>99</v>
      </c>
      <c r="H366" t="s">
        <v>50</v>
      </c>
      <c r="I366" t="s">
        <v>469</v>
      </c>
      <c r="J366" t="s">
        <v>503</v>
      </c>
      <c r="K366" t="str">
        <f>"03-31-000004458"</f>
        <v>0</v>
      </c>
      <c r="L366">
        <v>36000</v>
      </c>
      <c r="M366"/>
      <c r="N366" t="s">
        <v>38</v>
      </c>
      <c r="O366" t="s">
        <v>38</v>
      </c>
      <c r="P366" t="s">
        <v>53</v>
      </c>
      <c r="Q366" t="s">
        <v>38</v>
      </c>
      <c r="R366" t="s">
        <v>38</v>
      </c>
      <c r="S366" t="s">
        <v>42</v>
      </c>
      <c r="T366" t="s">
        <v>42</v>
      </c>
      <c r="U366" t="s">
        <v>463</v>
      </c>
      <c r="V366" t="s">
        <v>44</v>
      </c>
      <c r="W366" t="s">
        <v>463</v>
      </c>
      <c r="X366" t="s">
        <v>45</v>
      </c>
      <c r="Y366" t="s">
        <v>455</v>
      </c>
      <c r="Z366" t="s">
        <v>47</v>
      </c>
      <c r="AA366"/>
      <c r="AB366"/>
      <c r="AC366"/>
      <c r="AD366"/>
    </row>
    <row r="367" spans="1:30">
      <c r="A367">
        <v>2110060404</v>
      </c>
      <c r="B367" t="s">
        <v>30</v>
      </c>
      <c r="C367" t="s">
        <v>31</v>
      </c>
      <c r="D367" t="s">
        <v>32</v>
      </c>
      <c r="E367" t="s">
        <v>112</v>
      </c>
      <c r="F367" t="s">
        <v>64</v>
      </c>
      <c r="G367" t="s">
        <v>99</v>
      </c>
      <c r="H367" t="s">
        <v>50</v>
      </c>
      <c r="I367" t="s">
        <v>506</v>
      </c>
      <c r="J367" t="s">
        <v>507</v>
      </c>
      <c r="K367" t="str">
        <f>"cbb6921120941"</f>
        <v>0</v>
      </c>
      <c r="L367">
        <v>36000</v>
      </c>
      <c r="M367"/>
      <c r="N367" t="s">
        <v>38</v>
      </c>
      <c r="O367" t="s">
        <v>38</v>
      </c>
      <c r="P367" t="s">
        <v>53</v>
      </c>
      <c r="Q367" t="s">
        <v>38</v>
      </c>
      <c r="R367" t="s">
        <v>38</v>
      </c>
      <c r="S367" t="s">
        <v>42</v>
      </c>
      <c r="T367" t="s">
        <v>42</v>
      </c>
      <c r="U367" t="s">
        <v>463</v>
      </c>
      <c r="V367" t="s">
        <v>395</v>
      </c>
      <c r="W367" t="s">
        <v>463</v>
      </c>
      <c r="X367" t="s">
        <v>45</v>
      </c>
      <c r="Y367" t="s">
        <v>455</v>
      </c>
      <c r="Z367" t="s">
        <v>47</v>
      </c>
      <c r="AA367"/>
      <c r="AB367"/>
      <c r="AC367"/>
      <c r="AD367" t="s">
        <v>456</v>
      </c>
    </row>
    <row r="368" spans="1:30">
      <c r="A368">
        <v>2110060403</v>
      </c>
      <c r="B368" t="s">
        <v>30</v>
      </c>
      <c r="C368" t="s">
        <v>31</v>
      </c>
      <c r="D368" t="s">
        <v>32</v>
      </c>
      <c r="E368" t="s">
        <v>112</v>
      </c>
      <c r="F368" t="s">
        <v>64</v>
      </c>
      <c r="G368" t="s">
        <v>99</v>
      </c>
      <c r="H368" t="s">
        <v>50</v>
      </c>
      <c r="I368" t="s">
        <v>469</v>
      </c>
      <c r="J368" t="s">
        <v>482</v>
      </c>
      <c r="K368" t="str">
        <f>"06-28-210500481"</f>
        <v>0</v>
      </c>
      <c r="L368">
        <v>36000</v>
      </c>
      <c r="M368"/>
      <c r="N368" t="s">
        <v>38</v>
      </c>
      <c r="O368" t="s">
        <v>38</v>
      </c>
      <c r="P368" t="s">
        <v>53</v>
      </c>
      <c r="Q368" t="s">
        <v>38</v>
      </c>
      <c r="R368" t="s">
        <v>38</v>
      </c>
      <c r="S368" t="s">
        <v>42</v>
      </c>
      <c r="T368" t="s">
        <v>42</v>
      </c>
      <c r="U368" t="s">
        <v>463</v>
      </c>
      <c r="V368" t="s">
        <v>44</v>
      </c>
      <c r="W368" t="s">
        <v>463</v>
      </c>
      <c r="X368" t="s">
        <v>45</v>
      </c>
      <c r="Y368" t="s">
        <v>455</v>
      </c>
      <c r="Z368" t="s">
        <v>47</v>
      </c>
      <c r="AA368"/>
      <c r="AB368"/>
      <c r="AC368"/>
      <c r="AD368"/>
    </row>
    <row r="369" spans="1:30">
      <c r="A369">
        <v>2110060405</v>
      </c>
      <c r="B369" t="s">
        <v>30</v>
      </c>
      <c r="C369" t="s">
        <v>31</v>
      </c>
      <c r="D369" t="s">
        <v>32</v>
      </c>
      <c r="E369" t="s">
        <v>112</v>
      </c>
      <c r="F369" t="s">
        <v>64</v>
      </c>
      <c r="G369" t="s">
        <v>99</v>
      </c>
      <c r="H369" t="s">
        <v>50</v>
      </c>
      <c r="I369" t="s">
        <v>469</v>
      </c>
      <c r="J369" t="s">
        <v>482</v>
      </c>
      <c r="K369" t="str">
        <f>"06-28-210500406"</f>
        <v>0</v>
      </c>
      <c r="L369">
        <v>36000</v>
      </c>
      <c r="M369"/>
      <c r="N369" t="s">
        <v>38</v>
      </c>
      <c r="O369" t="s">
        <v>38</v>
      </c>
      <c r="P369" t="s">
        <v>53</v>
      </c>
      <c r="Q369" t="s">
        <v>38</v>
      </c>
      <c r="R369" t="s">
        <v>38</v>
      </c>
      <c r="S369" t="s">
        <v>42</v>
      </c>
      <c r="T369" t="s">
        <v>42</v>
      </c>
      <c r="U369" t="s">
        <v>463</v>
      </c>
      <c r="V369" t="s">
        <v>44</v>
      </c>
      <c r="W369" t="s">
        <v>463</v>
      </c>
      <c r="X369" t="s">
        <v>45</v>
      </c>
      <c r="Y369" t="s">
        <v>455</v>
      </c>
      <c r="Z369" t="s">
        <v>47</v>
      </c>
      <c r="AA369"/>
      <c r="AB369"/>
      <c r="AC369"/>
      <c r="AD369"/>
    </row>
    <row r="370" spans="1:30">
      <c r="A370">
        <v>2110060406</v>
      </c>
      <c r="B370" t="s">
        <v>30</v>
      </c>
      <c r="C370" t="s">
        <v>31</v>
      </c>
      <c r="D370" t="s">
        <v>32</v>
      </c>
      <c r="E370" t="s">
        <v>112</v>
      </c>
      <c r="F370" t="s">
        <v>64</v>
      </c>
      <c r="G370" t="s">
        <v>99</v>
      </c>
      <c r="H370" t="s">
        <v>50</v>
      </c>
      <c r="I370" t="s">
        <v>469</v>
      </c>
      <c r="J370" t="s">
        <v>482</v>
      </c>
      <c r="K370" t="str">
        <f>"06-28-210500417"</f>
        <v>0</v>
      </c>
      <c r="L370">
        <v>36000</v>
      </c>
      <c r="M370"/>
      <c r="N370" t="s">
        <v>38</v>
      </c>
      <c r="O370" t="s">
        <v>38</v>
      </c>
      <c r="P370" t="s">
        <v>53</v>
      </c>
      <c r="Q370" t="s">
        <v>38</v>
      </c>
      <c r="R370" t="s">
        <v>38</v>
      </c>
      <c r="S370" t="s">
        <v>42</v>
      </c>
      <c r="T370" t="s">
        <v>42</v>
      </c>
      <c r="U370" t="s">
        <v>463</v>
      </c>
      <c r="V370" t="s">
        <v>44</v>
      </c>
      <c r="W370" t="s">
        <v>463</v>
      </c>
      <c r="X370" t="s">
        <v>45</v>
      </c>
      <c r="Y370" t="s">
        <v>455</v>
      </c>
      <c r="Z370" t="s">
        <v>47</v>
      </c>
      <c r="AA370"/>
      <c r="AB370"/>
      <c r="AC370"/>
      <c r="AD370"/>
    </row>
    <row r="371" spans="1:30">
      <c r="A371">
        <v>2110060407</v>
      </c>
      <c r="B371" t="s">
        <v>30</v>
      </c>
      <c r="C371" t="s">
        <v>31</v>
      </c>
      <c r="D371" t="s">
        <v>32</v>
      </c>
      <c r="E371" t="s">
        <v>112</v>
      </c>
      <c r="F371" t="s">
        <v>64</v>
      </c>
      <c r="G371" t="s">
        <v>99</v>
      </c>
      <c r="H371" t="s">
        <v>50</v>
      </c>
      <c r="I371" t="s">
        <v>469</v>
      </c>
      <c r="J371" t="s">
        <v>482</v>
      </c>
      <c r="K371" t="str">
        <f>"06-28-210500242"</f>
        <v>0</v>
      </c>
      <c r="L371">
        <v>36000</v>
      </c>
      <c r="M371"/>
      <c r="N371" t="s">
        <v>38</v>
      </c>
      <c r="O371" t="s">
        <v>38</v>
      </c>
      <c r="P371" t="s">
        <v>53</v>
      </c>
      <c r="Q371" t="s">
        <v>38</v>
      </c>
      <c r="R371" t="s">
        <v>38</v>
      </c>
      <c r="S371" t="s">
        <v>42</v>
      </c>
      <c r="T371" t="s">
        <v>42</v>
      </c>
      <c r="U371" t="s">
        <v>463</v>
      </c>
      <c r="V371" t="s">
        <v>395</v>
      </c>
      <c r="W371" t="s">
        <v>463</v>
      </c>
      <c r="X371" t="s">
        <v>45</v>
      </c>
      <c r="Y371" t="s">
        <v>455</v>
      </c>
      <c r="Z371" t="s">
        <v>47</v>
      </c>
      <c r="AA371"/>
      <c r="AB371"/>
      <c r="AC371"/>
      <c r="AD371" t="s">
        <v>456</v>
      </c>
    </row>
    <row r="372" spans="1:30">
      <c r="A372">
        <v>2110060409</v>
      </c>
      <c r="B372" t="s">
        <v>30</v>
      </c>
      <c r="C372" t="s">
        <v>31</v>
      </c>
      <c r="D372" t="s">
        <v>32</v>
      </c>
      <c r="E372" t="s">
        <v>112</v>
      </c>
      <c r="F372" t="s">
        <v>64</v>
      </c>
      <c r="G372" t="s">
        <v>99</v>
      </c>
      <c r="H372" t="s">
        <v>50</v>
      </c>
      <c r="I372" t="s">
        <v>469</v>
      </c>
      <c r="J372" t="s">
        <v>482</v>
      </c>
      <c r="K372" t="str">
        <f>"06-28-210500303"</f>
        <v>0</v>
      </c>
      <c r="L372">
        <v>36000</v>
      </c>
      <c r="M372"/>
      <c r="N372" t="s">
        <v>38</v>
      </c>
      <c r="O372" t="s">
        <v>38</v>
      </c>
      <c r="P372" t="s">
        <v>53</v>
      </c>
      <c r="Q372" t="s">
        <v>38</v>
      </c>
      <c r="R372" t="s">
        <v>38</v>
      </c>
      <c r="S372" t="s">
        <v>42</v>
      </c>
      <c r="T372" t="s">
        <v>42</v>
      </c>
      <c r="U372" t="s">
        <v>463</v>
      </c>
      <c r="V372" t="s">
        <v>395</v>
      </c>
      <c r="W372" t="s">
        <v>463</v>
      </c>
      <c r="X372" t="s">
        <v>45</v>
      </c>
      <c r="Y372" t="s">
        <v>455</v>
      </c>
      <c r="Z372" t="s">
        <v>47</v>
      </c>
      <c r="AA372"/>
      <c r="AB372"/>
      <c r="AC372"/>
      <c r="AD372" t="s">
        <v>456</v>
      </c>
    </row>
    <row r="373" spans="1:30">
      <c r="A373">
        <v>2110060408</v>
      </c>
      <c r="B373" t="s">
        <v>30</v>
      </c>
      <c r="C373" t="s">
        <v>31</v>
      </c>
      <c r="D373" t="s">
        <v>32</v>
      </c>
      <c r="E373" t="s">
        <v>112</v>
      </c>
      <c r="F373" t="s">
        <v>64</v>
      </c>
      <c r="G373" t="s">
        <v>99</v>
      </c>
      <c r="H373" t="s">
        <v>50</v>
      </c>
      <c r="I373" t="s">
        <v>469</v>
      </c>
      <c r="J373" t="s">
        <v>482</v>
      </c>
      <c r="K373" t="str">
        <f>"06-28-210500411"</f>
        <v>0</v>
      </c>
      <c r="L373">
        <v>36000</v>
      </c>
      <c r="M373"/>
      <c r="N373" t="s">
        <v>38</v>
      </c>
      <c r="O373" t="s">
        <v>38</v>
      </c>
      <c r="P373" t="s">
        <v>53</v>
      </c>
      <c r="Q373" t="s">
        <v>38</v>
      </c>
      <c r="R373" t="s">
        <v>38</v>
      </c>
      <c r="S373" t="s">
        <v>42</v>
      </c>
      <c r="T373" t="s">
        <v>42</v>
      </c>
      <c r="U373" t="s">
        <v>463</v>
      </c>
      <c r="V373" t="s">
        <v>44</v>
      </c>
      <c r="W373" t="s">
        <v>463</v>
      </c>
      <c r="X373" t="s">
        <v>45</v>
      </c>
      <c r="Y373" t="s">
        <v>455</v>
      </c>
      <c r="Z373" t="s">
        <v>47</v>
      </c>
      <c r="AA373"/>
      <c r="AB373"/>
      <c r="AC373"/>
      <c r="AD373"/>
    </row>
    <row r="374" spans="1:30">
      <c r="A374">
        <v>2110060410</v>
      </c>
      <c r="B374" t="s">
        <v>30</v>
      </c>
      <c r="C374" t="s">
        <v>31</v>
      </c>
      <c r="D374" t="s">
        <v>32</v>
      </c>
      <c r="E374" t="s">
        <v>112</v>
      </c>
      <c r="F374" t="s">
        <v>64</v>
      </c>
      <c r="G374" t="s">
        <v>99</v>
      </c>
      <c r="H374" t="s">
        <v>50</v>
      </c>
      <c r="I374" t="s">
        <v>469</v>
      </c>
      <c r="J374" t="s">
        <v>482</v>
      </c>
      <c r="K374" t="str">
        <f>"06-28-210500453"</f>
        <v>0</v>
      </c>
      <c r="L374">
        <v>36000</v>
      </c>
      <c r="M374"/>
      <c r="N374" t="s">
        <v>38</v>
      </c>
      <c r="O374" t="s">
        <v>38</v>
      </c>
      <c r="P374" t="s">
        <v>53</v>
      </c>
      <c r="Q374" t="s">
        <v>38</v>
      </c>
      <c r="R374" t="s">
        <v>38</v>
      </c>
      <c r="S374" t="s">
        <v>42</v>
      </c>
      <c r="T374" t="s">
        <v>42</v>
      </c>
      <c r="U374" t="s">
        <v>463</v>
      </c>
      <c r="V374" t="s">
        <v>44</v>
      </c>
      <c r="W374" t="s">
        <v>463</v>
      </c>
      <c r="X374" t="s">
        <v>45</v>
      </c>
      <c r="Y374" t="s">
        <v>455</v>
      </c>
      <c r="Z374" t="s">
        <v>47</v>
      </c>
      <c r="AA374"/>
      <c r="AB374"/>
      <c r="AC374"/>
      <c r="AD374"/>
    </row>
    <row r="375" spans="1:30">
      <c r="A375">
        <v>2110060411</v>
      </c>
      <c r="B375" t="s">
        <v>30</v>
      </c>
      <c r="C375" t="s">
        <v>31</v>
      </c>
      <c r="D375" t="s">
        <v>32</v>
      </c>
      <c r="E375" t="s">
        <v>112</v>
      </c>
      <c r="F375" t="s">
        <v>64</v>
      </c>
      <c r="G375" t="s">
        <v>99</v>
      </c>
      <c r="H375" t="s">
        <v>50</v>
      </c>
      <c r="I375" t="s">
        <v>469</v>
      </c>
      <c r="J375" t="s">
        <v>482</v>
      </c>
      <c r="K375" t="str">
        <f>"06-28-210500508"</f>
        <v>0</v>
      </c>
      <c r="L375">
        <v>36000</v>
      </c>
      <c r="M375"/>
      <c r="N375" t="s">
        <v>38</v>
      </c>
      <c r="O375" t="s">
        <v>38</v>
      </c>
      <c r="P375" t="s">
        <v>53</v>
      </c>
      <c r="Q375" t="s">
        <v>38</v>
      </c>
      <c r="R375" t="s">
        <v>38</v>
      </c>
      <c r="S375" t="s">
        <v>42</v>
      </c>
      <c r="T375" t="s">
        <v>42</v>
      </c>
      <c r="U375" t="s">
        <v>463</v>
      </c>
      <c r="V375" t="s">
        <v>395</v>
      </c>
      <c r="W375" t="s">
        <v>463</v>
      </c>
      <c r="X375" t="s">
        <v>45</v>
      </c>
      <c r="Y375" t="s">
        <v>455</v>
      </c>
      <c r="Z375" t="s">
        <v>47</v>
      </c>
      <c r="AA375"/>
      <c r="AB375"/>
      <c r="AC375"/>
      <c r="AD375" t="s">
        <v>456</v>
      </c>
    </row>
    <row r="376" spans="1:30">
      <c r="A376">
        <v>2110060412</v>
      </c>
      <c r="B376" t="s">
        <v>30</v>
      </c>
      <c r="C376" t="s">
        <v>31</v>
      </c>
      <c r="D376" t="s">
        <v>32</v>
      </c>
      <c r="E376" t="s">
        <v>112</v>
      </c>
      <c r="F376" t="s">
        <v>64</v>
      </c>
      <c r="G376" t="s">
        <v>99</v>
      </c>
      <c r="H376" t="s">
        <v>50</v>
      </c>
      <c r="I376" t="s">
        <v>469</v>
      </c>
      <c r="J376" t="s">
        <v>482</v>
      </c>
      <c r="K376" t="str">
        <f>"06-28-210500392"</f>
        <v>0</v>
      </c>
      <c r="L376">
        <v>36000</v>
      </c>
      <c r="M376"/>
      <c r="N376" t="s">
        <v>38</v>
      </c>
      <c r="O376" t="s">
        <v>38</v>
      </c>
      <c r="P376" t="s">
        <v>53</v>
      </c>
      <c r="Q376" t="s">
        <v>38</v>
      </c>
      <c r="R376" t="s">
        <v>38</v>
      </c>
      <c r="S376" t="s">
        <v>42</v>
      </c>
      <c r="T376" t="s">
        <v>42</v>
      </c>
      <c r="U376" t="s">
        <v>463</v>
      </c>
      <c r="V376" t="s">
        <v>44</v>
      </c>
      <c r="W376" t="s">
        <v>463</v>
      </c>
      <c r="X376" t="s">
        <v>45</v>
      </c>
      <c r="Y376" t="s">
        <v>455</v>
      </c>
      <c r="Z376" t="s">
        <v>47</v>
      </c>
      <c r="AA376"/>
      <c r="AB376"/>
      <c r="AC376"/>
      <c r="AD376"/>
    </row>
    <row r="377" spans="1:30">
      <c r="A377">
        <v>2110060413</v>
      </c>
      <c r="B377" t="s">
        <v>30</v>
      </c>
      <c r="C377" t="s">
        <v>31</v>
      </c>
      <c r="D377" t="s">
        <v>32</v>
      </c>
      <c r="E377" t="s">
        <v>112</v>
      </c>
      <c r="F377" t="s">
        <v>64</v>
      </c>
      <c r="G377" t="s">
        <v>99</v>
      </c>
      <c r="H377" t="s">
        <v>50</v>
      </c>
      <c r="I377" t="s">
        <v>469</v>
      </c>
      <c r="J377" t="s">
        <v>482</v>
      </c>
      <c r="K377" t="str">
        <f>"06-28-210500528"</f>
        <v>0</v>
      </c>
      <c r="L377">
        <v>36000</v>
      </c>
      <c r="M377"/>
      <c r="N377" t="s">
        <v>38</v>
      </c>
      <c r="O377" t="s">
        <v>38</v>
      </c>
      <c r="P377" t="s">
        <v>53</v>
      </c>
      <c r="Q377" t="s">
        <v>38</v>
      </c>
      <c r="R377" t="s">
        <v>38</v>
      </c>
      <c r="S377" t="s">
        <v>42</v>
      </c>
      <c r="T377" t="s">
        <v>42</v>
      </c>
      <c r="U377" t="s">
        <v>463</v>
      </c>
      <c r="V377" t="s">
        <v>395</v>
      </c>
      <c r="W377" t="s">
        <v>463</v>
      </c>
      <c r="X377" t="s">
        <v>45</v>
      </c>
      <c r="Y377" t="s">
        <v>455</v>
      </c>
      <c r="Z377" t="s">
        <v>47</v>
      </c>
      <c r="AA377"/>
      <c r="AB377"/>
      <c r="AC377"/>
      <c r="AD377" t="s">
        <v>456</v>
      </c>
    </row>
    <row r="378" spans="1:30">
      <c r="A378">
        <v>2110060414</v>
      </c>
      <c r="B378" t="s">
        <v>30</v>
      </c>
      <c r="C378" t="s">
        <v>31</v>
      </c>
      <c r="D378" t="s">
        <v>32</v>
      </c>
      <c r="E378" t="s">
        <v>112</v>
      </c>
      <c r="F378" t="s">
        <v>64</v>
      </c>
      <c r="G378" t="s">
        <v>99</v>
      </c>
      <c r="H378" t="s">
        <v>50</v>
      </c>
      <c r="I378" t="s">
        <v>469</v>
      </c>
      <c r="J378" t="s">
        <v>482</v>
      </c>
      <c r="K378" t="str">
        <f>"06-28-210500416"</f>
        <v>0</v>
      </c>
      <c r="L378">
        <v>36000</v>
      </c>
      <c r="M378"/>
      <c r="N378" t="s">
        <v>38</v>
      </c>
      <c r="O378" t="s">
        <v>38</v>
      </c>
      <c r="P378" t="s">
        <v>53</v>
      </c>
      <c r="Q378" t="s">
        <v>38</v>
      </c>
      <c r="R378" t="s">
        <v>38</v>
      </c>
      <c r="S378" t="s">
        <v>42</v>
      </c>
      <c r="T378" t="s">
        <v>42</v>
      </c>
      <c r="U378" t="s">
        <v>463</v>
      </c>
      <c r="V378" t="s">
        <v>44</v>
      </c>
      <c r="W378" t="s">
        <v>463</v>
      </c>
      <c r="X378" t="s">
        <v>45</v>
      </c>
      <c r="Y378" t="s">
        <v>455</v>
      </c>
      <c r="Z378" t="s">
        <v>47</v>
      </c>
      <c r="AA378"/>
      <c r="AB378"/>
      <c r="AC378"/>
      <c r="AD378"/>
    </row>
    <row r="379" spans="1:30">
      <c r="A379">
        <v>2110060415</v>
      </c>
      <c r="B379" t="s">
        <v>30</v>
      </c>
      <c r="C379" t="s">
        <v>31</v>
      </c>
      <c r="D379" t="s">
        <v>32</v>
      </c>
      <c r="E379" t="s">
        <v>112</v>
      </c>
      <c r="F379" t="s">
        <v>64</v>
      </c>
      <c r="G379" t="s">
        <v>99</v>
      </c>
      <c r="H379" t="s">
        <v>50</v>
      </c>
      <c r="I379" t="s">
        <v>469</v>
      </c>
      <c r="J379" t="s">
        <v>482</v>
      </c>
      <c r="K379" t="str">
        <f>"06-28-210500514"</f>
        <v>0</v>
      </c>
      <c r="L379">
        <v>36000</v>
      </c>
      <c r="M379"/>
      <c r="N379" t="s">
        <v>38</v>
      </c>
      <c r="O379" t="s">
        <v>38</v>
      </c>
      <c r="P379" t="s">
        <v>53</v>
      </c>
      <c r="Q379" t="s">
        <v>38</v>
      </c>
      <c r="R379" t="s">
        <v>38</v>
      </c>
      <c r="S379" t="s">
        <v>42</v>
      </c>
      <c r="T379" t="s">
        <v>42</v>
      </c>
      <c r="U379" t="s">
        <v>463</v>
      </c>
      <c r="V379" t="s">
        <v>395</v>
      </c>
      <c r="W379" t="s">
        <v>463</v>
      </c>
      <c r="X379" t="s">
        <v>45</v>
      </c>
      <c r="Y379" t="s">
        <v>455</v>
      </c>
      <c r="Z379" t="s">
        <v>47</v>
      </c>
      <c r="AA379"/>
      <c r="AB379"/>
      <c r="AC379"/>
      <c r="AD379" t="s">
        <v>456</v>
      </c>
    </row>
    <row r="380" spans="1:30">
      <c r="A380">
        <v>2110060416</v>
      </c>
      <c r="B380" t="s">
        <v>30</v>
      </c>
      <c r="C380" t="s">
        <v>31</v>
      </c>
      <c r="D380" t="s">
        <v>32</v>
      </c>
      <c r="E380" t="s">
        <v>112</v>
      </c>
      <c r="F380" t="s">
        <v>64</v>
      </c>
      <c r="G380" t="s">
        <v>99</v>
      </c>
      <c r="H380" t="s">
        <v>50</v>
      </c>
      <c r="I380" t="s">
        <v>469</v>
      </c>
      <c r="J380" t="s">
        <v>482</v>
      </c>
      <c r="K380" t="str">
        <f>"06-28-210500297"</f>
        <v>0</v>
      </c>
      <c r="L380">
        <v>36000</v>
      </c>
      <c r="M380"/>
      <c r="N380" t="s">
        <v>38</v>
      </c>
      <c r="O380" t="s">
        <v>38</v>
      </c>
      <c r="P380" t="s">
        <v>53</v>
      </c>
      <c r="Q380" t="s">
        <v>38</v>
      </c>
      <c r="R380" t="s">
        <v>38</v>
      </c>
      <c r="S380" t="s">
        <v>42</v>
      </c>
      <c r="T380" t="s">
        <v>42</v>
      </c>
      <c r="U380" t="s">
        <v>463</v>
      </c>
      <c r="V380" t="s">
        <v>44</v>
      </c>
      <c r="W380" t="s">
        <v>463</v>
      </c>
      <c r="X380" t="s">
        <v>45</v>
      </c>
      <c r="Y380" t="s">
        <v>455</v>
      </c>
      <c r="Z380" t="s">
        <v>47</v>
      </c>
      <c r="AA380"/>
      <c r="AB380"/>
      <c r="AC380"/>
      <c r="AD380"/>
    </row>
    <row r="381" spans="1:30">
      <c r="A381">
        <v>2110060417</v>
      </c>
      <c r="B381" t="s">
        <v>30</v>
      </c>
      <c r="C381" t="s">
        <v>31</v>
      </c>
      <c r="D381" t="s">
        <v>32</v>
      </c>
      <c r="E381" t="s">
        <v>112</v>
      </c>
      <c r="F381" t="s">
        <v>64</v>
      </c>
      <c r="G381" t="s">
        <v>99</v>
      </c>
      <c r="H381" t="s">
        <v>50</v>
      </c>
      <c r="I381" t="s">
        <v>466</v>
      </c>
      <c r="J381" t="s">
        <v>467</v>
      </c>
      <c r="K381" t="str">
        <f>"Dm210513346"</f>
        <v>0</v>
      </c>
      <c r="L381">
        <v>36000</v>
      </c>
      <c r="M381"/>
      <c r="N381" t="s">
        <v>38</v>
      </c>
      <c r="O381" t="s">
        <v>38</v>
      </c>
      <c r="P381" t="s">
        <v>53</v>
      </c>
      <c r="Q381" t="s">
        <v>38</v>
      </c>
      <c r="R381" t="s">
        <v>38</v>
      </c>
      <c r="S381" t="s">
        <v>42</v>
      </c>
      <c r="T381" t="s">
        <v>42</v>
      </c>
      <c r="U381" t="s">
        <v>463</v>
      </c>
      <c r="V381" t="s">
        <v>44</v>
      </c>
      <c r="W381" t="s">
        <v>463</v>
      </c>
      <c r="X381" t="s">
        <v>45</v>
      </c>
      <c r="Y381" t="s">
        <v>455</v>
      </c>
      <c r="Z381" t="s">
        <v>47</v>
      </c>
      <c r="AA381"/>
      <c r="AB381"/>
      <c r="AC381"/>
      <c r="AD381"/>
    </row>
    <row r="382" spans="1:30">
      <c r="A382">
        <v>2110060418</v>
      </c>
      <c r="B382" t="s">
        <v>30</v>
      </c>
      <c r="C382" t="s">
        <v>31</v>
      </c>
      <c r="D382" t="s">
        <v>32</v>
      </c>
      <c r="E382" t="s">
        <v>112</v>
      </c>
      <c r="F382" t="s">
        <v>48</v>
      </c>
      <c r="G382" t="s">
        <v>453</v>
      </c>
      <c r="H382" t="s">
        <v>50</v>
      </c>
      <c r="I382" t="s">
        <v>173</v>
      </c>
      <c r="J382" t="s">
        <v>508</v>
      </c>
      <c r="K382" t="str">
        <f>"zlac00097"</f>
        <v>0</v>
      </c>
      <c r="L382">
        <v>72000</v>
      </c>
      <c r="M382"/>
      <c r="N382" t="s">
        <v>38</v>
      </c>
      <c r="O382" t="s">
        <v>38</v>
      </c>
      <c r="P382" t="s">
        <v>53</v>
      </c>
      <c r="Q382" t="s">
        <v>38</v>
      </c>
      <c r="R382" t="s">
        <v>38</v>
      </c>
      <c r="S382" t="s">
        <v>42</v>
      </c>
      <c r="T382" t="s">
        <v>42</v>
      </c>
      <c r="U382" t="s">
        <v>463</v>
      </c>
      <c r="V382" t="s">
        <v>44</v>
      </c>
      <c r="W382" t="s">
        <v>463</v>
      </c>
      <c r="X382" t="s">
        <v>45</v>
      </c>
      <c r="Y382" t="s">
        <v>455</v>
      </c>
      <c r="Z382" t="s">
        <v>47</v>
      </c>
      <c r="AA382"/>
      <c r="AB382"/>
      <c r="AC382"/>
      <c r="AD382"/>
    </row>
    <row r="383" spans="1:30">
      <c r="A383">
        <v>2110060333</v>
      </c>
      <c r="B383" t="s">
        <v>30</v>
      </c>
      <c r="C383" t="s">
        <v>31</v>
      </c>
      <c r="D383" t="s">
        <v>32</v>
      </c>
      <c r="E383" t="s">
        <v>509</v>
      </c>
      <c r="F383" t="s">
        <v>64</v>
      </c>
      <c r="G383" t="s">
        <v>99</v>
      </c>
      <c r="H383" t="s">
        <v>50</v>
      </c>
      <c r="I383" t="s">
        <v>510</v>
      </c>
      <c r="J383" t="s">
        <v>511</v>
      </c>
      <c r="K383" t="str">
        <f>"210707206"</f>
        <v>0</v>
      </c>
      <c r="L383">
        <v>36000</v>
      </c>
      <c r="M383"/>
      <c r="N383" t="s">
        <v>38</v>
      </c>
      <c r="O383" t="s">
        <v>38</v>
      </c>
      <c r="P383" t="s">
        <v>53</v>
      </c>
      <c r="Q383" t="s">
        <v>38</v>
      </c>
      <c r="R383" t="s">
        <v>38</v>
      </c>
      <c r="S383" t="s">
        <v>42</v>
      </c>
      <c r="T383" t="s">
        <v>42</v>
      </c>
      <c r="U383" t="s">
        <v>463</v>
      </c>
      <c r="V383" t="s">
        <v>395</v>
      </c>
      <c r="W383" t="s">
        <v>463</v>
      </c>
      <c r="X383" t="s">
        <v>45</v>
      </c>
      <c r="Y383" t="s">
        <v>455</v>
      </c>
      <c r="Z383" t="s">
        <v>47</v>
      </c>
      <c r="AA383"/>
      <c r="AB383"/>
      <c r="AC383"/>
      <c r="AD383" t="s">
        <v>456</v>
      </c>
    </row>
    <row r="384" spans="1:30">
      <c r="A384">
        <v>5110120003</v>
      </c>
      <c r="B384" t="s">
        <v>30</v>
      </c>
      <c r="C384" t="s">
        <v>230</v>
      </c>
      <c r="D384" t="s">
        <v>512</v>
      </c>
      <c r="E384" t="s">
        <v>48</v>
      </c>
      <c r="F384" t="s">
        <v>48</v>
      </c>
      <c r="G384" t="s">
        <v>203</v>
      </c>
      <c r="H384" t="s">
        <v>50</v>
      </c>
      <c r="I384" t="s">
        <v>375</v>
      </c>
      <c r="J384" t="s">
        <v>59</v>
      </c>
      <c r="K384" t="str">
        <f>"na"</f>
        <v>0</v>
      </c>
      <c r="L384">
        <v>20000</v>
      </c>
      <c r="M384"/>
      <c r="N384" t="s">
        <v>38</v>
      </c>
      <c r="O384" t="s">
        <v>38</v>
      </c>
      <c r="P384" t="s">
        <v>53</v>
      </c>
      <c r="Q384" t="s">
        <v>38</v>
      </c>
      <c r="R384" t="s">
        <v>38</v>
      </c>
      <c r="S384" t="s">
        <v>42</v>
      </c>
      <c r="T384" t="s">
        <v>42</v>
      </c>
      <c r="U384" t="s">
        <v>513</v>
      </c>
      <c r="V384" t="s">
        <v>44</v>
      </c>
      <c r="W384" t="s">
        <v>513</v>
      </c>
      <c r="X384" t="s">
        <v>45</v>
      </c>
      <c r="Y384" t="s">
        <v>514</v>
      </c>
      <c r="Z384" t="s">
        <v>47</v>
      </c>
      <c r="AA384"/>
      <c r="AB384"/>
      <c r="AC384"/>
      <c r="AD384"/>
    </row>
    <row r="385" spans="1:30">
      <c r="A385">
        <v>5110120004</v>
      </c>
      <c r="B385" t="s">
        <v>30</v>
      </c>
      <c r="C385" t="s">
        <v>230</v>
      </c>
      <c r="D385" t="s">
        <v>512</v>
      </c>
      <c r="E385" t="s">
        <v>79</v>
      </c>
      <c r="F385" t="s">
        <v>94</v>
      </c>
      <c r="G385" t="s">
        <v>95</v>
      </c>
      <c r="H385" t="s">
        <v>35</v>
      </c>
      <c r="I385" t="s">
        <v>82</v>
      </c>
      <c r="J385" t="s">
        <v>515</v>
      </c>
      <c r="K385" t="str">
        <f>"Tp 1081"</f>
        <v>0</v>
      </c>
      <c r="L385">
        <v>69636</v>
      </c>
      <c r="M385"/>
      <c r="N385" t="s">
        <v>38</v>
      </c>
      <c r="O385" t="s">
        <v>38</v>
      </c>
      <c r="P385" t="s">
        <v>53</v>
      </c>
      <c r="Q385" t="s">
        <v>38</v>
      </c>
      <c r="R385" t="s">
        <v>38</v>
      </c>
      <c r="S385" t="s">
        <v>42</v>
      </c>
      <c r="T385" t="s">
        <v>42</v>
      </c>
      <c r="U385" t="s">
        <v>513</v>
      </c>
      <c r="V385" t="s">
        <v>44</v>
      </c>
      <c r="W385" t="s">
        <v>513</v>
      </c>
      <c r="X385" t="s">
        <v>45</v>
      </c>
      <c r="Y385" t="s">
        <v>514</v>
      </c>
      <c r="Z385" t="s">
        <v>47</v>
      </c>
      <c r="AA385"/>
      <c r="AB385"/>
      <c r="AC385"/>
      <c r="AD385"/>
    </row>
    <row r="386" spans="1:30">
      <c r="A386">
        <v>5110120005</v>
      </c>
      <c r="B386" t="s">
        <v>30</v>
      </c>
      <c r="C386" t="s">
        <v>230</v>
      </c>
      <c r="D386" t="s">
        <v>512</v>
      </c>
      <c r="E386" t="s">
        <v>79</v>
      </c>
      <c r="F386" t="s">
        <v>56</v>
      </c>
      <c r="G386" t="s">
        <v>283</v>
      </c>
      <c r="H386" t="s">
        <v>50</v>
      </c>
      <c r="I386" t="s">
        <v>375</v>
      </c>
      <c r="J386" t="s">
        <v>59</v>
      </c>
      <c r="K386" t="str">
        <f>"na"</f>
        <v>0</v>
      </c>
      <c r="L386">
        <v>10000</v>
      </c>
      <c r="M386"/>
      <c r="N386" t="s">
        <v>38</v>
      </c>
      <c r="O386" t="s">
        <v>38</v>
      </c>
      <c r="P386" t="s">
        <v>53</v>
      </c>
      <c r="Q386" t="s">
        <v>38</v>
      </c>
      <c r="R386" t="s">
        <v>38</v>
      </c>
      <c r="S386" t="s">
        <v>42</v>
      </c>
      <c r="T386" t="s">
        <v>42</v>
      </c>
      <c r="U386" t="s">
        <v>513</v>
      </c>
      <c r="V386" t="s">
        <v>44</v>
      </c>
      <c r="W386" t="s">
        <v>513</v>
      </c>
      <c r="X386" t="s">
        <v>45</v>
      </c>
      <c r="Y386" t="s">
        <v>514</v>
      </c>
      <c r="Z386" t="s">
        <v>47</v>
      </c>
      <c r="AA386"/>
      <c r="AB386"/>
      <c r="AC386"/>
      <c r="AD386"/>
    </row>
    <row r="387" spans="1:30">
      <c r="A387">
        <v>5110120006</v>
      </c>
      <c r="B387" t="s">
        <v>30</v>
      </c>
      <c r="C387" t="s">
        <v>230</v>
      </c>
      <c r="D387" t="s">
        <v>512</v>
      </c>
      <c r="E387" t="s">
        <v>79</v>
      </c>
      <c r="F387" t="s">
        <v>64</v>
      </c>
      <c r="G387" t="s">
        <v>99</v>
      </c>
      <c r="H387" t="s">
        <v>50</v>
      </c>
      <c r="I387" t="s">
        <v>439</v>
      </c>
      <c r="J387" t="s">
        <v>440</v>
      </c>
      <c r="K387" t="str">
        <f>"B213250505DS"</f>
        <v>0</v>
      </c>
      <c r="L387">
        <v>36000</v>
      </c>
      <c r="M387"/>
      <c r="N387" t="s">
        <v>38</v>
      </c>
      <c r="O387" t="s">
        <v>38</v>
      </c>
      <c r="P387" t="s">
        <v>53</v>
      </c>
      <c r="Q387" t="s">
        <v>38</v>
      </c>
      <c r="R387" t="s">
        <v>38</v>
      </c>
      <c r="S387" t="s">
        <v>42</v>
      </c>
      <c r="T387" t="s">
        <v>42</v>
      </c>
      <c r="U387" t="s">
        <v>513</v>
      </c>
      <c r="V387" t="s">
        <v>44</v>
      </c>
      <c r="W387" t="s">
        <v>513</v>
      </c>
      <c r="X387" t="s">
        <v>45</v>
      </c>
      <c r="Y387" t="s">
        <v>514</v>
      </c>
      <c r="Z387" t="s">
        <v>47</v>
      </c>
      <c r="AA387"/>
      <c r="AB387"/>
      <c r="AC387"/>
      <c r="AD387"/>
    </row>
    <row r="388" spans="1:30">
      <c r="A388">
        <v>5110120007</v>
      </c>
      <c r="B388" t="s">
        <v>30</v>
      </c>
      <c r="C388" t="s">
        <v>230</v>
      </c>
      <c r="D388" t="s">
        <v>512</v>
      </c>
      <c r="E388" t="s">
        <v>79</v>
      </c>
      <c r="F388" t="s">
        <v>64</v>
      </c>
      <c r="G388" t="s">
        <v>99</v>
      </c>
      <c r="H388" t="s">
        <v>50</v>
      </c>
      <c r="I388" t="s">
        <v>227</v>
      </c>
      <c r="J388" t="s">
        <v>228</v>
      </c>
      <c r="K388" t="str">
        <f>"210617675"</f>
        <v>0</v>
      </c>
      <c r="L388">
        <v>36000</v>
      </c>
      <c r="M388"/>
      <c r="N388" t="s">
        <v>38</v>
      </c>
      <c r="O388" t="s">
        <v>38</v>
      </c>
      <c r="P388" t="s">
        <v>53</v>
      </c>
      <c r="Q388" t="s">
        <v>38</v>
      </c>
      <c r="R388" t="s">
        <v>38</v>
      </c>
      <c r="S388" t="s">
        <v>42</v>
      </c>
      <c r="T388" t="s">
        <v>42</v>
      </c>
      <c r="U388" t="s">
        <v>513</v>
      </c>
      <c r="V388" t="s">
        <v>44</v>
      </c>
      <c r="W388" t="s">
        <v>513</v>
      </c>
      <c r="X388" t="s">
        <v>45</v>
      </c>
      <c r="Y388" t="s">
        <v>514</v>
      </c>
      <c r="Z388" t="s">
        <v>47</v>
      </c>
      <c r="AA388"/>
      <c r="AB388"/>
      <c r="AC388"/>
      <c r="AD388"/>
    </row>
    <row r="389" spans="1:30">
      <c r="A389">
        <v>5110120008</v>
      </c>
      <c r="B389" t="s">
        <v>30</v>
      </c>
      <c r="C389" t="s">
        <v>230</v>
      </c>
      <c r="D389" t="s">
        <v>512</v>
      </c>
      <c r="E389" t="s">
        <v>79</v>
      </c>
      <c r="F389" t="s">
        <v>108</v>
      </c>
      <c r="G389" t="s">
        <v>109</v>
      </c>
      <c r="H389" t="s">
        <v>50</v>
      </c>
      <c r="I389" t="s">
        <v>516</v>
      </c>
      <c r="J389">
        <v>222</v>
      </c>
      <c r="K389" t="str">
        <f>"na"</f>
        <v>0</v>
      </c>
      <c r="L389">
        <v>10000</v>
      </c>
      <c r="M389"/>
      <c r="N389" t="s">
        <v>38</v>
      </c>
      <c r="O389" t="s">
        <v>38</v>
      </c>
      <c r="P389" t="s">
        <v>53</v>
      </c>
      <c r="Q389" t="s">
        <v>38</v>
      </c>
      <c r="R389" t="s">
        <v>38</v>
      </c>
      <c r="S389" t="s">
        <v>42</v>
      </c>
      <c r="T389" t="s">
        <v>42</v>
      </c>
      <c r="U389" t="s">
        <v>513</v>
      </c>
      <c r="V389" t="s">
        <v>44</v>
      </c>
      <c r="W389" t="s">
        <v>513</v>
      </c>
      <c r="X389" t="s">
        <v>45</v>
      </c>
      <c r="Y389" t="s">
        <v>514</v>
      </c>
      <c r="Z389" t="s">
        <v>47</v>
      </c>
      <c r="AA389"/>
      <c r="AB389"/>
      <c r="AC389"/>
      <c r="AD389"/>
    </row>
    <row r="390" spans="1:30">
      <c r="A390">
        <v>5110140001</v>
      </c>
      <c r="B390" t="s">
        <v>30</v>
      </c>
      <c r="C390" t="s">
        <v>230</v>
      </c>
      <c r="D390" t="s">
        <v>517</v>
      </c>
      <c r="E390" t="s">
        <v>64</v>
      </c>
      <c r="F390" t="s">
        <v>64</v>
      </c>
      <c r="G390" t="s">
        <v>99</v>
      </c>
      <c r="H390" t="s">
        <v>50</v>
      </c>
      <c r="I390" t="s">
        <v>439</v>
      </c>
      <c r="J390" t="s">
        <v>440</v>
      </c>
      <c r="K390" t="str">
        <f>"B213250286Ds"</f>
        <v>0</v>
      </c>
      <c r="L390">
        <v>36000</v>
      </c>
      <c r="M390"/>
      <c r="N390" t="s">
        <v>38</v>
      </c>
      <c r="O390" t="s">
        <v>38</v>
      </c>
      <c r="P390" t="s">
        <v>53</v>
      </c>
      <c r="Q390" t="s">
        <v>38</v>
      </c>
      <c r="R390" t="s">
        <v>38</v>
      </c>
      <c r="S390" t="s">
        <v>42</v>
      </c>
      <c r="T390" t="s">
        <v>42</v>
      </c>
      <c r="U390" t="s">
        <v>518</v>
      </c>
      <c r="V390" t="s">
        <v>44</v>
      </c>
      <c r="W390" t="s">
        <v>518</v>
      </c>
      <c r="X390" t="s">
        <v>45</v>
      </c>
      <c r="Y390" t="s">
        <v>519</v>
      </c>
      <c r="Z390" t="s">
        <v>47</v>
      </c>
      <c r="AA390"/>
      <c r="AB390"/>
      <c r="AC390"/>
      <c r="AD390"/>
    </row>
    <row r="391" spans="1:30">
      <c r="A391">
        <v>5110130001</v>
      </c>
      <c r="B391" t="s">
        <v>30</v>
      </c>
      <c r="C391" t="s">
        <v>230</v>
      </c>
      <c r="D391" t="s">
        <v>252</v>
      </c>
      <c r="E391" t="s">
        <v>112</v>
      </c>
      <c r="F391" t="s">
        <v>56</v>
      </c>
      <c r="G391" t="s">
        <v>283</v>
      </c>
      <c r="H391" t="s">
        <v>50</v>
      </c>
      <c r="I391" t="s">
        <v>520</v>
      </c>
      <c r="J391" t="s">
        <v>59</v>
      </c>
      <c r="K391" t="str">
        <f>"6556"</f>
        <v>0</v>
      </c>
      <c r="L391">
        <v>10000</v>
      </c>
      <c r="M391"/>
      <c r="N391" t="s">
        <v>38</v>
      </c>
      <c r="O391" t="s">
        <v>38</v>
      </c>
      <c r="P391" t="s">
        <v>53</v>
      </c>
      <c r="Q391" t="s">
        <v>38</v>
      </c>
      <c r="R391" t="s">
        <v>38</v>
      </c>
      <c r="S391" t="s">
        <v>42</v>
      </c>
      <c r="T391" t="s">
        <v>42</v>
      </c>
      <c r="U391" t="s">
        <v>518</v>
      </c>
      <c r="V391" t="s">
        <v>44</v>
      </c>
      <c r="W391" t="s">
        <v>518</v>
      </c>
      <c r="X391" t="s">
        <v>45</v>
      </c>
      <c r="Y391" t="s">
        <v>519</v>
      </c>
      <c r="Z391" t="s">
        <v>47</v>
      </c>
      <c r="AA391"/>
      <c r="AB391"/>
      <c r="AC391"/>
      <c r="AD391"/>
    </row>
    <row r="392" spans="1:30">
      <c r="A392">
        <v>5110130002</v>
      </c>
      <c r="B392" t="s">
        <v>30</v>
      </c>
      <c r="C392" t="s">
        <v>230</v>
      </c>
      <c r="D392" t="s">
        <v>252</v>
      </c>
      <c r="E392" t="s">
        <v>112</v>
      </c>
      <c r="F392" t="s">
        <v>64</v>
      </c>
      <c r="G392" t="s">
        <v>99</v>
      </c>
      <c r="H392" t="s">
        <v>50</v>
      </c>
      <c r="I392" t="s">
        <v>314</v>
      </c>
      <c r="J392" t="s">
        <v>521</v>
      </c>
      <c r="K392" t="str">
        <f>"21g23d401aa011162"</f>
        <v>0</v>
      </c>
      <c r="L392">
        <v>36000</v>
      </c>
      <c r="M392"/>
      <c r="N392" t="s">
        <v>38</v>
      </c>
      <c r="O392" t="s">
        <v>38</v>
      </c>
      <c r="P392" t="s">
        <v>53</v>
      </c>
      <c r="Q392" t="s">
        <v>38</v>
      </c>
      <c r="R392" t="s">
        <v>38</v>
      </c>
      <c r="S392" t="s">
        <v>42</v>
      </c>
      <c r="T392" t="s">
        <v>42</v>
      </c>
      <c r="U392" t="s">
        <v>518</v>
      </c>
      <c r="V392" t="s">
        <v>44</v>
      </c>
      <c r="W392" t="s">
        <v>518</v>
      </c>
      <c r="X392" t="s">
        <v>45</v>
      </c>
      <c r="Y392" t="s">
        <v>519</v>
      </c>
      <c r="Z392" t="s">
        <v>47</v>
      </c>
      <c r="AA392"/>
      <c r="AB392"/>
      <c r="AC392"/>
      <c r="AD392"/>
    </row>
    <row r="393" spans="1:30">
      <c r="A393">
        <v>5110130003</v>
      </c>
      <c r="B393" t="s">
        <v>30</v>
      </c>
      <c r="C393" t="s">
        <v>230</v>
      </c>
      <c r="D393" t="s">
        <v>252</v>
      </c>
      <c r="E393" t="s">
        <v>112</v>
      </c>
      <c r="F393" t="s">
        <v>64</v>
      </c>
      <c r="G393" t="s">
        <v>99</v>
      </c>
      <c r="H393" t="s">
        <v>50</v>
      </c>
      <c r="I393" t="s">
        <v>314</v>
      </c>
      <c r="J393" t="s">
        <v>521</v>
      </c>
      <c r="K393" t="str">
        <f>"21g23d401aa011123"</f>
        <v>0</v>
      </c>
      <c r="L393">
        <v>36000</v>
      </c>
      <c r="M393"/>
      <c r="N393" t="s">
        <v>38</v>
      </c>
      <c r="O393" t="s">
        <v>38</v>
      </c>
      <c r="P393" t="s">
        <v>53</v>
      </c>
      <c r="Q393" t="s">
        <v>38</v>
      </c>
      <c r="R393" t="s">
        <v>38</v>
      </c>
      <c r="S393" t="s">
        <v>42</v>
      </c>
      <c r="T393" t="s">
        <v>42</v>
      </c>
      <c r="U393" t="s">
        <v>518</v>
      </c>
      <c r="V393" t="s">
        <v>44</v>
      </c>
      <c r="W393" t="s">
        <v>518</v>
      </c>
      <c r="X393" t="s">
        <v>45</v>
      </c>
      <c r="Y393" t="s">
        <v>519</v>
      </c>
      <c r="Z393" t="s">
        <v>47</v>
      </c>
      <c r="AA393"/>
      <c r="AB393"/>
      <c r="AC393"/>
      <c r="AD393"/>
    </row>
    <row r="394" spans="1:30">
      <c r="A394">
        <v>5110130004</v>
      </c>
      <c r="B394" t="s">
        <v>30</v>
      </c>
      <c r="C394" t="s">
        <v>230</v>
      </c>
      <c r="D394" t="s">
        <v>252</v>
      </c>
      <c r="E394" t="s">
        <v>112</v>
      </c>
      <c r="F394" t="s">
        <v>64</v>
      </c>
      <c r="G394" t="s">
        <v>99</v>
      </c>
      <c r="H394" t="s">
        <v>50</v>
      </c>
      <c r="I394" t="s">
        <v>439</v>
      </c>
      <c r="J394" t="s">
        <v>440</v>
      </c>
      <c r="K394" t="str">
        <f>"B213050330Ds"</f>
        <v>0</v>
      </c>
      <c r="L394">
        <v>36000</v>
      </c>
      <c r="M394"/>
      <c r="N394" t="s">
        <v>38</v>
      </c>
      <c r="O394" t="s">
        <v>38</v>
      </c>
      <c r="P394" t="s">
        <v>53</v>
      </c>
      <c r="Q394" t="s">
        <v>38</v>
      </c>
      <c r="R394" t="s">
        <v>38</v>
      </c>
      <c r="S394" t="s">
        <v>42</v>
      </c>
      <c r="T394" t="s">
        <v>42</v>
      </c>
      <c r="U394" t="s">
        <v>518</v>
      </c>
      <c r="V394" t="s">
        <v>44</v>
      </c>
      <c r="W394" t="s">
        <v>518</v>
      </c>
      <c r="X394" t="s">
        <v>45</v>
      </c>
      <c r="Y394" t="s">
        <v>519</v>
      </c>
      <c r="Z394" t="s">
        <v>47</v>
      </c>
      <c r="AA394"/>
      <c r="AB394"/>
      <c r="AC394"/>
      <c r="AD394"/>
    </row>
    <row r="395" spans="1:30">
      <c r="A395">
        <v>5110130006</v>
      </c>
      <c r="B395" t="s">
        <v>30</v>
      </c>
      <c r="C395" t="s">
        <v>230</v>
      </c>
      <c r="D395" t="s">
        <v>252</v>
      </c>
      <c r="E395" t="s">
        <v>48</v>
      </c>
      <c r="F395" t="s">
        <v>48</v>
      </c>
      <c r="G395" t="s">
        <v>203</v>
      </c>
      <c r="H395" t="s">
        <v>50</v>
      </c>
      <c r="I395" t="s">
        <v>522</v>
      </c>
      <c r="J395" t="s">
        <v>59</v>
      </c>
      <c r="K395" t="str">
        <f>"na"</f>
        <v>0</v>
      </c>
      <c r="L395">
        <v>20000</v>
      </c>
      <c r="M395"/>
      <c r="N395" t="s">
        <v>38</v>
      </c>
      <c r="O395" t="s">
        <v>38</v>
      </c>
      <c r="P395" t="s">
        <v>53</v>
      </c>
      <c r="Q395" t="s">
        <v>38</v>
      </c>
      <c r="R395" t="s">
        <v>38</v>
      </c>
      <c r="S395" t="s">
        <v>42</v>
      </c>
      <c r="T395" t="s">
        <v>42</v>
      </c>
      <c r="U395" t="s">
        <v>518</v>
      </c>
      <c r="V395" t="s">
        <v>44</v>
      </c>
      <c r="W395" t="s">
        <v>518</v>
      </c>
      <c r="X395" t="s">
        <v>45</v>
      </c>
      <c r="Y395" t="s">
        <v>519</v>
      </c>
      <c r="Z395" t="s">
        <v>47</v>
      </c>
      <c r="AA395"/>
      <c r="AB395"/>
      <c r="AC395"/>
      <c r="AD395"/>
    </row>
    <row r="396" spans="1:30">
      <c r="A396">
        <v>5110180001</v>
      </c>
      <c r="B396" t="s">
        <v>30</v>
      </c>
      <c r="C396" t="s">
        <v>230</v>
      </c>
      <c r="D396" t="s">
        <v>257</v>
      </c>
      <c r="E396" t="s">
        <v>48</v>
      </c>
      <c r="F396" t="s">
        <v>48</v>
      </c>
      <c r="G396" t="s">
        <v>203</v>
      </c>
      <c r="H396" t="s">
        <v>50</v>
      </c>
      <c r="I396" t="s">
        <v>375</v>
      </c>
      <c r="J396" t="s">
        <v>59</v>
      </c>
      <c r="K396" t="str">
        <f>"na"</f>
        <v>0</v>
      </c>
      <c r="L396">
        <v>20000</v>
      </c>
      <c r="M396"/>
      <c r="N396" t="s">
        <v>38</v>
      </c>
      <c r="O396" t="s">
        <v>38</v>
      </c>
      <c r="P396" t="s">
        <v>53</v>
      </c>
      <c r="Q396" t="s">
        <v>38</v>
      </c>
      <c r="R396" t="s">
        <v>38</v>
      </c>
      <c r="S396" t="s">
        <v>42</v>
      </c>
      <c r="T396" t="s">
        <v>42</v>
      </c>
      <c r="U396" t="s">
        <v>518</v>
      </c>
      <c r="V396" t="s">
        <v>44</v>
      </c>
      <c r="W396" t="s">
        <v>518</v>
      </c>
      <c r="X396" t="s">
        <v>45</v>
      </c>
      <c r="Y396" t="s">
        <v>519</v>
      </c>
      <c r="Z396" t="s">
        <v>47</v>
      </c>
      <c r="AA396"/>
      <c r="AB396"/>
      <c r="AC396"/>
      <c r="AD396"/>
    </row>
    <row r="397" spans="1:30">
      <c r="A397">
        <v>5110180002</v>
      </c>
      <c r="B397" t="s">
        <v>30</v>
      </c>
      <c r="C397" t="s">
        <v>230</v>
      </c>
      <c r="D397" t="s">
        <v>257</v>
      </c>
      <c r="E397" t="s">
        <v>48</v>
      </c>
      <c r="F397" t="s">
        <v>90</v>
      </c>
      <c r="G397" t="s">
        <v>523</v>
      </c>
      <c r="H397" t="s">
        <v>50</v>
      </c>
      <c r="I397" t="s">
        <v>524</v>
      </c>
      <c r="J397" t="s">
        <v>525</v>
      </c>
      <c r="K397" t="str">
        <f>"na"</f>
        <v>0</v>
      </c>
      <c r="L397">
        <v>30000</v>
      </c>
      <c r="M397"/>
      <c r="N397" t="s">
        <v>38</v>
      </c>
      <c r="O397" t="s">
        <v>38</v>
      </c>
      <c r="P397" t="s">
        <v>53</v>
      </c>
      <c r="Q397" t="s">
        <v>38</v>
      </c>
      <c r="R397" t="s">
        <v>38</v>
      </c>
      <c r="S397" t="s">
        <v>42</v>
      </c>
      <c r="T397" t="s">
        <v>42</v>
      </c>
      <c r="U397" t="s">
        <v>518</v>
      </c>
      <c r="V397" t="s">
        <v>44</v>
      </c>
      <c r="W397" t="s">
        <v>518</v>
      </c>
      <c r="X397" t="s">
        <v>45</v>
      </c>
      <c r="Y397" t="s">
        <v>519</v>
      </c>
      <c r="Z397" t="s">
        <v>47</v>
      </c>
      <c r="AA397"/>
      <c r="AB397"/>
      <c r="AC397"/>
      <c r="AD397"/>
    </row>
    <row r="398" spans="1:30">
      <c r="A398">
        <v>5110180003</v>
      </c>
      <c r="B398" t="s">
        <v>30</v>
      </c>
      <c r="C398" t="s">
        <v>230</v>
      </c>
      <c r="D398" t="s">
        <v>257</v>
      </c>
      <c r="E398" t="s">
        <v>79</v>
      </c>
      <c r="F398" t="s">
        <v>94</v>
      </c>
      <c r="G398" t="s">
        <v>95</v>
      </c>
      <c r="H398" t="s">
        <v>35</v>
      </c>
      <c r="I398" t="s">
        <v>82</v>
      </c>
      <c r="J398" t="s">
        <v>526</v>
      </c>
      <c r="K398" t="str">
        <f>"Tp1083"</f>
        <v>0</v>
      </c>
      <c r="L398">
        <v>69636</v>
      </c>
      <c r="M398"/>
      <c r="N398" t="s">
        <v>38</v>
      </c>
      <c r="O398" t="s">
        <v>38</v>
      </c>
      <c r="P398" t="s">
        <v>53</v>
      </c>
      <c r="Q398" t="s">
        <v>38</v>
      </c>
      <c r="R398" t="s">
        <v>38</v>
      </c>
      <c r="S398" t="s">
        <v>42</v>
      </c>
      <c r="T398" t="s">
        <v>42</v>
      </c>
      <c r="U398" t="s">
        <v>518</v>
      </c>
      <c r="V398" t="s">
        <v>44</v>
      </c>
      <c r="W398" t="s">
        <v>518</v>
      </c>
      <c r="X398" t="s">
        <v>45</v>
      </c>
      <c r="Y398" t="s">
        <v>519</v>
      </c>
      <c r="Z398" t="s">
        <v>47</v>
      </c>
      <c r="AA398"/>
      <c r="AB398"/>
      <c r="AC398"/>
      <c r="AD398"/>
    </row>
    <row r="399" spans="1:30">
      <c r="A399">
        <v>5110180004</v>
      </c>
      <c r="B399" t="s">
        <v>30</v>
      </c>
      <c r="C399" t="s">
        <v>230</v>
      </c>
      <c r="D399" t="s">
        <v>257</v>
      </c>
      <c r="E399" t="s">
        <v>79</v>
      </c>
      <c r="F399" t="s">
        <v>64</v>
      </c>
      <c r="G399" t="s">
        <v>99</v>
      </c>
      <c r="H399" t="s">
        <v>50</v>
      </c>
      <c r="I399" t="s">
        <v>314</v>
      </c>
      <c r="J399" t="s">
        <v>521</v>
      </c>
      <c r="K399" t="str">
        <f>"21g23d401aa011336"</f>
        <v>0</v>
      </c>
      <c r="L399">
        <v>36000</v>
      </c>
      <c r="M399"/>
      <c r="N399" t="s">
        <v>38</v>
      </c>
      <c r="O399" t="s">
        <v>38</v>
      </c>
      <c r="P399" t="s">
        <v>53</v>
      </c>
      <c r="Q399" t="s">
        <v>38</v>
      </c>
      <c r="R399" t="s">
        <v>38</v>
      </c>
      <c r="S399" t="s">
        <v>42</v>
      </c>
      <c r="T399" t="s">
        <v>42</v>
      </c>
      <c r="U399" t="s">
        <v>518</v>
      </c>
      <c r="V399" t="s">
        <v>44</v>
      </c>
      <c r="W399" t="s">
        <v>518</v>
      </c>
      <c r="X399" t="s">
        <v>45</v>
      </c>
      <c r="Y399" t="s">
        <v>519</v>
      </c>
      <c r="Z399" t="s">
        <v>47</v>
      </c>
      <c r="AA399"/>
      <c r="AB399"/>
      <c r="AC399"/>
      <c r="AD399"/>
    </row>
    <row r="400" spans="1:30">
      <c r="A400">
        <v>5110180005</v>
      </c>
      <c r="B400" t="s">
        <v>30</v>
      </c>
      <c r="C400" t="s">
        <v>230</v>
      </c>
      <c r="D400" t="s">
        <v>257</v>
      </c>
      <c r="E400" t="s">
        <v>79</v>
      </c>
      <c r="F400" t="s">
        <v>56</v>
      </c>
      <c r="G400" t="s">
        <v>283</v>
      </c>
      <c r="H400" t="s">
        <v>50</v>
      </c>
      <c r="I400" t="s">
        <v>375</v>
      </c>
      <c r="J400" t="s">
        <v>59</v>
      </c>
      <c r="K400" t="str">
        <f>"6927"</f>
        <v>0</v>
      </c>
      <c r="L400">
        <v>10000</v>
      </c>
      <c r="M400"/>
      <c r="N400" t="s">
        <v>38</v>
      </c>
      <c r="O400" t="s">
        <v>38</v>
      </c>
      <c r="P400" t="s">
        <v>53</v>
      </c>
      <c r="Q400" t="s">
        <v>38</v>
      </c>
      <c r="R400" t="s">
        <v>38</v>
      </c>
      <c r="S400" t="s">
        <v>42</v>
      </c>
      <c r="T400" t="s">
        <v>42</v>
      </c>
      <c r="U400" t="s">
        <v>518</v>
      </c>
      <c r="V400" t="s">
        <v>44</v>
      </c>
      <c r="W400" t="s">
        <v>518</v>
      </c>
      <c r="X400" t="s">
        <v>45</v>
      </c>
      <c r="Y400" t="s">
        <v>519</v>
      </c>
      <c r="Z400" t="s">
        <v>47</v>
      </c>
      <c r="AA400"/>
      <c r="AB400"/>
      <c r="AC400"/>
      <c r="AD400"/>
    </row>
    <row r="401" spans="1:30">
      <c r="A401">
        <v>5110180006</v>
      </c>
      <c r="B401" t="s">
        <v>30</v>
      </c>
      <c r="C401" t="s">
        <v>230</v>
      </c>
      <c r="D401" t="s">
        <v>257</v>
      </c>
      <c r="E401" t="s">
        <v>112</v>
      </c>
      <c r="F401" t="s">
        <v>64</v>
      </c>
      <c r="G401" t="s">
        <v>99</v>
      </c>
      <c r="H401" t="s">
        <v>50</v>
      </c>
      <c r="I401" t="s">
        <v>314</v>
      </c>
      <c r="J401" t="s">
        <v>527</v>
      </c>
      <c r="K401" t="str">
        <f>"21g23d401aa011197"</f>
        <v>0</v>
      </c>
      <c r="L401">
        <v>36000</v>
      </c>
      <c r="M401"/>
      <c r="N401" t="s">
        <v>38</v>
      </c>
      <c r="O401" t="s">
        <v>38</v>
      </c>
      <c r="P401" t="s">
        <v>53</v>
      </c>
      <c r="Q401" t="s">
        <v>38</v>
      </c>
      <c r="R401" t="s">
        <v>38</v>
      </c>
      <c r="S401" t="s">
        <v>42</v>
      </c>
      <c r="T401" t="s">
        <v>42</v>
      </c>
      <c r="U401" t="s">
        <v>518</v>
      </c>
      <c r="V401" t="s">
        <v>44</v>
      </c>
      <c r="W401" t="s">
        <v>518</v>
      </c>
      <c r="X401" t="s">
        <v>45</v>
      </c>
      <c r="Y401" t="s">
        <v>519</v>
      </c>
      <c r="Z401" t="s">
        <v>47</v>
      </c>
      <c r="AA401"/>
      <c r="AB401"/>
      <c r="AC401"/>
      <c r="AD401"/>
    </row>
    <row r="402" spans="1:30">
      <c r="A402">
        <v>5110180007</v>
      </c>
      <c r="B402" t="s">
        <v>30</v>
      </c>
      <c r="C402" t="s">
        <v>230</v>
      </c>
      <c r="D402" t="s">
        <v>257</v>
      </c>
      <c r="E402" t="s">
        <v>112</v>
      </c>
      <c r="F402" t="s">
        <v>64</v>
      </c>
      <c r="G402" t="s">
        <v>99</v>
      </c>
      <c r="H402" t="s">
        <v>50</v>
      </c>
      <c r="I402" t="s">
        <v>227</v>
      </c>
      <c r="J402" t="s">
        <v>297</v>
      </c>
      <c r="K402" t="str">
        <f>"210502270"</f>
        <v>0</v>
      </c>
      <c r="L402">
        <v>38047</v>
      </c>
      <c r="M402"/>
      <c r="N402" t="s">
        <v>38</v>
      </c>
      <c r="O402" t="s">
        <v>38</v>
      </c>
      <c r="P402" t="s">
        <v>53</v>
      </c>
      <c r="Q402" t="s">
        <v>38</v>
      </c>
      <c r="R402" t="s">
        <v>38</v>
      </c>
      <c r="S402" t="s">
        <v>42</v>
      </c>
      <c r="T402" t="s">
        <v>42</v>
      </c>
      <c r="U402" t="s">
        <v>518</v>
      </c>
      <c r="V402" t="s">
        <v>44</v>
      </c>
      <c r="W402" t="s">
        <v>518</v>
      </c>
      <c r="X402" t="s">
        <v>45</v>
      </c>
      <c r="Y402" t="s">
        <v>519</v>
      </c>
      <c r="Z402" t="s">
        <v>47</v>
      </c>
      <c r="AA402"/>
      <c r="AB402"/>
      <c r="AC402"/>
      <c r="AD402"/>
    </row>
    <row r="403" spans="1:30">
      <c r="A403">
        <v>5110180008</v>
      </c>
      <c r="B403" t="s">
        <v>30</v>
      </c>
      <c r="C403" t="s">
        <v>230</v>
      </c>
      <c r="D403" t="s">
        <v>257</v>
      </c>
      <c r="E403" t="s">
        <v>112</v>
      </c>
      <c r="F403" t="s">
        <v>64</v>
      </c>
      <c r="G403" t="s">
        <v>99</v>
      </c>
      <c r="H403" t="s">
        <v>50</v>
      </c>
      <c r="I403" t="s">
        <v>227</v>
      </c>
      <c r="J403" t="s">
        <v>297</v>
      </c>
      <c r="K403" t="str">
        <f>"210500356"</f>
        <v>0</v>
      </c>
      <c r="L403">
        <v>38047</v>
      </c>
      <c r="M403"/>
      <c r="N403" t="s">
        <v>38</v>
      </c>
      <c r="O403" t="s">
        <v>38</v>
      </c>
      <c r="P403" t="s">
        <v>53</v>
      </c>
      <c r="Q403" t="s">
        <v>38</v>
      </c>
      <c r="R403" t="s">
        <v>38</v>
      </c>
      <c r="S403" t="s">
        <v>42</v>
      </c>
      <c r="T403" t="s">
        <v>42</v>
      </c>
      <c r="U403" t="s">
        <v>518</v>
      </c>
      <c r="V403" t="s">
        <v>44</v>
      </c>
      <c r="W403" t="s">
        <v>518</v>
      </c>
      <c r="X403" t="s">
        <v>45</v>
      </c>
      <c r="Y403" t="s">
        <v>519</v>
      </c>
      <c r="Z403" t="s">
        <v>47</v>
      </c>
      <c r="AA403"/>
      <c r="AB403"/>
      <c r="AC403"/>
      <c r="AD403"/>
    </row>
    <row r="404" spans="1:30">
      <c r="A404">
        <v>5110180009</v>
      </c>
      <c r="B404" t="s">
        <v>30</v>
      </c>
      <c r="C404" t="s">
        <v>230</v>
      </c>
      <c r="D404" t="s">
        <v>257</v>
      </c>
      <c r="E404" t="s">
        <v>112</v>
      </c>
      <c r="F404" t="s">
        <v>64</v>
      </c>
      <c r="G404" t="s">
        <v>99</v>
      </c>
      <c r="H404" t="s">
        <v>50</v>
      </c>
      <c r="I404" t="s">
        <v>439</v>
      </c>
      <c r="J404" t="s">
        <v>440</v>
      </c>
      <c r="K404" t="str">
        <f>"B214120859Ds"</f>
        <v>0</v>
      </c>
      <c r="L404">
        <v>36000</v>
      </c>
      <c r="M404"/>
      <c r="N404" t="s">
        <v>38</v>
      </c>
      <c r="O404" t="s">
        <v>38</v>
      </c>
      <c r="P404" t="s">
        <v>53</v>
      </c>
      <c r="Q404" t="s">
        <v>38</v>
      </c>
      <c r="R404" t="s">
        <v>38</v>
      </c>
      <c r="S404" t="s">
        <v>42</v>
      </c>
      <c r="T404" t="s">
        <v>42</v>
      </c>
      <c r="U404" t="s">
        <v>518</v>
      </c>
      <c r="V404" t="s">
        <v>44</v>
      </c>
      <c r="W404" t="s">
        <v>518</v>
      </c>
      <c r="X404" t="s">
        <v>45</v>
      </c>
      <c r="Y404" t="s">
        <v>519</v>
      </c>
      <c r="Z404" t="s">
        <v>47</v>
      </c>
      <c r="AA404"/>
      <c r="AB404"/>
      <c r="AC404"/>
      <c r="AD404"/>
    </row>
    <row r="405" spans="1:30">
      <c r="A405">
        <v>6110220001</v>
      </c>
      <c r="B405" t="s">
        <v>30</v>
      </c>
      <c r="C405" t="s">
        <v>429</v>
      </c>
      <c r="D405" t="s">
        <v>430</v>
      </c>
      <c r="E405" t="s">
        <v>206</v>
      </c>
      <c r="F405" t="s">
        <v>80</v>
      </c>
      <c r="G405" t="s">
        <v>81</v>
      </c>
      <c r="H405" t="s">
        <v>50</v>
      </c>
      <c r="I405" t="s">
        <v>82</v>
      </c>
      <c r="J405" t="s">
        <v>528</v>
      </c>
      <c r="K405" t="str">
        <f>"Q485616"</f>
        <v>0</v>
      </c>
      <c r="L405">
        <v>15000</v>
      </c>
      <c r="M405"/>
      <c r="N405" t="s">
        <v>38</v>
      </c>
      <c r="O405" t="s">
        <v>38</v>
      </c>
      <c r="P405" t="s">
        <v>53</v>
      </c>
      <c r="Q405" t="s">
        <v>38</v>
      </c>
      <c r="R405" t="s">
        <v>38</v>
      </c>
      <c r="S405" t="s">
        <v>42</v>
      </c>
      <c r="T405" t="s">
        <v>42</v>
      </c>
      <c r="U405" t="s">
        <v>518</v>
      </c>
      <c r="V405" t="s">
        <v>44</v>
      </c>
      <c r="W405" t="s">
        <v>518</v>
      </c>
      <c r="X405" t="s">
        <v>45</v>
      </c>
      <c r="Y405" t="s">
        <v>529</v>
      </c>
      <c r="Z405" t="s">
        <v>47</v>
      </c>
      <c r="AA405"/>
      <c r="AB405"/>
      <c r="AC405"/>
      <c r="AD405"/>
    </row>
    <row r="406" spans="1:30">
      <c r="A406">
        <v>6110220002</v>
      </c>
      <c r="B406" t="s">
        <v>30</v>
      </c>
      <c r="C406" t="s">
        <v>429</v>
      </c>
      <c r="D406" t="s">
        <v>430</v>
      </c>
      <c r="E406" t="s">
        <v>206</v>
      </c>
      <c r="F406" t="s">
        <v>56</v>
      </c>
      <c r="G406" t="s">
        <v>283</v>
      </c>
      <c r="H406" t="s">
        <v>50</v>
      </c>
      <c r="I406" t="s">
        <v>375</v>
      </c>
      <c r="J406" t="s">
        <v>59</v>
      </c>
      <c r="K406" t="str">
        <f>"na"</f>
        <v>0</v>
      </c>
      <c r="L406">
        <v>10000</v>
      </c>
      <c r="M406"/>
      <c r="N406" t="s">
        <v>38</v>
      </c>
      <c r="O406" t="s">
        <v>38</v>
      </c>
      <c r="P406" t="s">
        <v>53</v>
      </c>
      <c r="Q406" t="s">
        <v>38</v>
      </c>
      <c r="R406" t="s">
        <v>38</v>
      </c>
      <c r="S406" t="s">
        <v>42</v>
      </c>
      <c r="T406" t="s">
        <v>42</v>
      </c>
      <c r="U406" t="s">
        <v>518</v>
      </c>
      <c r="V406" t="s">
        <v>44</v>
      </c>
      <c r="W406" t="s">
        <v>518</v>
      </c>
      <c r="X406" t="s">
        <v>45</v>
      </c>
      <c r="Y406" t="s">
        <v>529</v>
      </c>
      <c r="Z406" t="s">
        <v>47</v>
      </c>
      <c r="AA406"/>
      <c r="AB406"/>
      <c r="AC406"/>
      <c r="AD406"/>
    </row>
    <row r="407" spans="1:30">
      <c r="A407">
        <v>6110220003</v>
      </c>
      <c r="B407" t="s">
        <v>30</v>
      </c>
      <c r="C407" t="s">
        <v>429</v>
      </c>
      <c r="D407" t="s">
        <v>430</v>
      </c>
      <c r="E407" t="s">
        <v>206</v>
      </c>
      <c r="F407" t="s">
        <v>64</v>
      </c>
      <c r="G407" t="s">
        <v>99</v>
      </c>
      <c r="H407" t="s">
        <v>50</v>
      </c>
      <c r="I407" t="s">
        <v>439</v>
      </c>
      <c r="J407" t="s">
        <v>440</v>
      </c>
      <c r="K407" t="str">
        <f>"B213180268DS"</f>
        <v>0</v>
      </c>
      <c r="L407">
        <v>36000</v>
      </c>
      <c r="M407"/>
      <c r="N407" t="s">
        <v>38</v>
      </c>
      <c r="O407" t="s">
        <v>38</v>
      </c>
      <c r="P407" t="s">
        <v>53</v>
      </c>
      <c r="Q407" t="s">
        <v>38</v>
      </c>
      <c r="R407" t="s">
        <v>38</v>
      </c>
      <c r="S407" t="s">
        <v>42</v>
      </c>
      <c r="T407" t="s">
        <v>42</v>
      </c>
      <c r="U407" t="s">
        <v>518</v>
      </c>
      <c r="V407" t="s">
        <v>44</v>
      </c>
      <c r="W407" t="s">
        <v>518</v>
      </c>
      <c r="X407" t="s">
        <v>45</v>
      </c>
      <c r="Y407" t="s">
        <v>529</v>
      </c>
      <c r="Z407" t="s">
        <v>47</v>
      </c>
      <c r="AA407"/>
      <c r="AB407"/>
      <c r="AC407"/>
      <c r="AD407"/>
    </row>
    <row r="408" spans="1:30">
      <c r="A408">
        <v>6110220005</v>
      </c>
      <c r="B408" t="s">
        <v>30</v>
      </c>
      <c r="C408" t="s">
        <v>429</v>
      </c>
      <c r="D408" t="s">
        <v>430</v>
      </c>
      <c r="E408" t="s">
        <v>48</v>
      </c>
      <c r="F408" t="s">
        <v>48</v>
      </c>
      <c r="G408" t="s">
        <v>530</v>
      </c>
      <c r="H408" t="s">
        <v>50</v>
      </c>
      <c r="I408" t="s">
        <v>531</v>
      </c>
      <c r="J408" t="s">
        <v>59</v>
      </c>
      <c r="K408" t="str">
        <f>"na"</f>
        <v>0</v>
      </c>
      <c r="L408">
        <v>48000</v>
      </c>
      <c r="M408"/>
      <c r="N408" t="s">
        <v>38</v>
      </c>
      <c r="O408" t="s">
        <v>38</v>
      </c>
      <c r="P408" t="s">
        <v>53</v>
      </c>
      <c r="Q408" t="s">
        <v>38</v>
      </c>
      <c r="R408" t="s">
        <v>38</v>
      </c>
      <c r="S408" t="s">
        <v>42</v>
      </c>
      <c r="T408" t="s">
        <v>42</v>
      </c>
      <c r="U408" t="s">
        <v>532</v>
      </c>
      <c r="V408" t="s">
        <v>44</v>
      </c>
      <c r="W408" t="s">
        <v>532</v>
      </c>
      <c r="X408" t="s">
        <v>45</v>
      </c>
      <c r="Y408" t="s">
        <v>529</v>
      </c>
      <c r="Z408" t="s">
        <v>47</v>
      </c>
      <c r="AA408"/>
      <c r="AB408"/>
      <c r="AC408"/>
      <c r="AD408"/>
    </row>
    <row r="409" spans="1:30">
      <c r="A409">
        <v>5110200001</v>
      </c>
      <c r="B409" t="s">
        <v>30</v>
      </c>
      <c r="C409" t="s">
        <v>230</v>
      </c>
      <c r="D409" t="s">
        <v>533</v>
      </c>
      <c r="E409" t="s">
        <v>534</v>
      </c>
      <c r="F409" t="s">
        <v>64</v>
      </c>
      <c r="G409" t="s">
        <v>99</v>
      </c>
      <c r="H409" t="s">
        <v>50</v>
      </c>
      <c r="I409" t="s">
        <v>439</v>
      </c>
      <c r="J409" t="s">
        <v>440</v>
      </c>
      <c r="K409" t="str">
        <f>"B213180338Ds"</f>
        <v>0</v>
      </c>
      <c r="L409">
        <v>36000</v>
      </c>
      <c r="M409"/>
      <c r="N409" t="s">
        <v>38</v>
      </c>
      <c r="O409" t="s">
        <v>38</v>
      </c>
      <c r="P409" t="s">
        <v>53</v>
      </c>
      <c r="Q409" t="s">
        <v>38</v>
      </c>
      <c r="R409" t="s">
        <v>38</v>
      </c>
      <c r="S409" t="s">
        <v>42</v>
      </c>
      <c r="T409" t="s">
        <v>42</v>
      </c>
      <c r="U409" t="s">
        <v>532</v>
      </c>
      <c r="V409" t="s">
        <v>44</v>
      </c>
      <c r="W409" t="s">
        <v>532</v>
      </c>
      <c r="X409" t="s">
        <v>45</v>
      </c>
      <c r="Y409" t="s">
        <v>535</v>
      </c>
      <c r="Z409" t="s">
        <v>47</v>
      </c>
      <c r="AA409"/>
      <c r="AB409"/>
      <c r="AC409"/>
      <c r="AD409"/>
    </row>
    <row r="410" spans="1:30">
      <c r="A410">
        <v>5110200002</v>
      </c>
      <c r="B410" t="s">
        <v>30</v>
      </c>
      <c r="C410" t="s">
        <v>230</v>
      </c>
      <c r="D410" t="s">
        <v>533</v>
      </c>
      <c r="E410" t="s">
        <v>534</v>
      </c>
      <c r="F410" t="s">
        <v>64</v>
      </c>
      <c r="G410" t="s">
        <v>99</v>
      </c>
      <c r="H410" t="s">
        <v>50</v>
      </c>
      <c r="I410" t="s">
        <v>314</v>
      </c>
      <c r="J410" t="s">
        <v>536</v>
      </c>
      <c r="K410" t="str">
        <f>"21g23d401aa011137"</f>
        <v>0</v>
      </c>
      <c r="L410">
        <v>36000</v>
      </c>
      <c r="M410"/>
      <c r="N410" t="s">
        <v>38</v>
      </c>
      <c r="O410" t="s">
        <v>38</v>
      </c>
      <c r="P410" t="s">
        <v>53</v>
      </c>
      <c r="Q410" t="s">
        <v>38</v>
      </c>
      <c r="R410" t="s">
        <v>38</v>
      </c>
      <c r="S410" t="s">
        <v>42</v>
      </c>
      <c r="T410" t="s">
        <v>42</v>
      </c>
      <c r="U410" t="s">
        <v>532</v>
      </c>
      <c r="V410" t="s">
        <v>44</v>
      </c>
      <c r="W410" t="s">
        <v>532</v>
      </c>
      <c r="X410" t="s">
        <v>45</v>
      </c>
      <c r="Y410" t="s">
        <v>535</v>
      </c>
      <c r="Z410" t="s">
        <v>47</v>
      </c>
      <c r="AA410"/>
      <c r="AB410"/>
      <c r="AC410"/>
      <c r="AD410"/>
    </row>
    <row r="411" spans="1:30">
      <c r="A411">
        <v>5110200003</v>
      </c>
      <c r="B411" t="s">
        <v>30</v>
      </c>
      <c r="C411" t="s">
        <v>230</v>
      </c>
      <c r="D411" t="s">
        <v>533</v>
      </c>
      <c r="E411" t="s">
        <v>534</v>
      </c>
      <c r="F411" t="s">
        <v>64</v>
      </c>
      <c r="G411" t="s">
        <v>99</v>
      </c>
      <c r="H411" t="s">
        <v>50</v>
      </c>
      <c r="I411" t="s">
        <v>314</v>
      </c>
      <c r="J411" t="s">
        <v>536</v>
      </c>
      <c r="K411" t="str">
        <f>"21g23d401aa011248"</f>
        <v>0</v>
      </c>
      <c r="L411">
        <v>36000</v>
      </c>
      <c r="M411"/>
      <c r="N411" t="s">
        <v>38</v>
      </c>
      <c r="O411" t="s">
        <v>38</v>
      </c>
      <c r="P411" t="s">
        <v>53</v>
      </c>
      <c r="Q411" t="s">
        <v>38</v>
      </c>
      <c r="R411" t="s">
        <v>38</v>
      </c>
      <c r="S411" t="s">
        <v>42</v>
      </c>
      <c r="T411" t="s">
        <v>42</v>
      </c>
      <c r="U411" t="s">
        <v>532</v>
      </c>
      <c r="V411" t="s">
        <v>44</v>
      </c>
      <c r="W411" t="s">
        <v>532</v>
      </c>
      <c r="X411" t="s">
        <v>45</v>
      </c>
      <c r="Y411" t="s">
        <v>535</v>
      </c>
      <c r="Z411" t="s">
        <v>47</v>
      </c>
      <c r="AA411"/>
      <c r="AB411"/>
      <c r="AC411"/>
      <c r="AD411"/>
    </row>
    <row r="412" spans="1:30">
      <c r="A412">
        <v>5110170005</v>
      </c>
      <c r="B412" t="s">
        <v>30</v>
      </c>
      <c r="C412" t="s">
        <v>230</v>
      </c>
      <c r="D412" t="s">
        <v>537</v>
      </c>
      <c r="E412" t="s">
        <v>538</v>
      </c>
      <c r="F412" t="s">
        <v>64</v>
      </c>
      <c r="G412" t="s">
        <v>99</v>
      </c>
      <c r="H412" t="s">
        <v>50</v>
      </c>
      <c r="I412" t="s">
        <v>439</v>
      </c>
      <c r="J412" t="s">
        <v>440</v>
      </c>
      <c r="K412" t="str">
        <f>"B213180618Ds"</f>
        <v>0</v>
      </c>
      <c r="L412">
        <v>36000</v>
      </c>
      <c r="M412"/>
      <c r="N412" t="s">
        <v>38</v>
      </c>
      <c r="O412" t="s">
        <v>38</v>
      </c>
      <c r="P412" t="s">
        <v>53</v>
      </c>
      <c r="Q412" t="s">
        <v>38</v>
      </c>
      <c r="R412" t="s">
        <v>38</v>
      </c>
      <c r="S412" t="s">
        <v>42</v>
      </c>
      <c r="T412" t="s">
        <v>42</v>
      </c>
      <c r="U412" t="s">
        <v>532</v>
      </c>
      <c r="V412" t="s">
        <v>44</v>
      </c>
      <c r="W412" t="s">
        <v>532</v>
      </c>
      <c r="X412" t="s">
        <v>45</v>
      </c>
      <c r="Y412" t="s">
        <v>535</v>
      </c>
      <c r="Z412" t="s">
        <v>47</v>
      </c>
      <c r="AA412"/>
      <c r="AB412"/>
      <c r="AC412"/>
      <c r="AD412"/>
    </row>
    <row r="413" spans="1:30">
      <c r="A413">
        <v>5110170006</v>
      </c>
      <c r="B413" t="s">
        <v>30</v>
      </c>
      <c r="C413" t="s">
        <v>230</v>
      </c>
      <c r="D413" t="s">
        <v>537</v>
      </c>
      <c r="E413" t="s">
        <v>538</v>
      </c>
      <c r="F413" t="s">
        <v>64</v>
      </c>
      <c r="G413" t="s">
        <v>99</v>
      </c>
      <c r="H413" t="s">
        <v>50</v>
      </c>
      <c r="I413" t="s">
        <v>227</v>
      </c>
      <c r="J413" t="s">
        <v>228</v>
      </c>
      <c r="K413" t="str">
        <f>"210526418"</f>
        <v>0</v>
      </c>
      <c r="L413">
        <v>36000</v>
      </c>
      <c r="M413"/>
      <c r="N413" t="s">
        <v>38</v>
      </c>
      <c r="O413" t="s">
        <v>38</v>
      </c>
      <c r="P413" t="s">
        <v>53</v>
      </c>
      <c r="Q413" t="s">
        <v>38</v>
      </c>
      <c r="R413" t="s">
        <v>38</v>
      </c>
      <c r="S413" t="s">
        <v>42</v>
      </c>
      <c r="T413" t="s">
        <v>42</v>
      </c>
      <c r="U413" t="s">
        <v>532</v>
      </c>
      <c r="V413" t="s">
        <v>44</v>
      </c>
      <c r="W413" t="s">
        <v>532</v>
      </c>
      <c r="X413" t="s">
        <v>45</v>
      </c>
      <c r="Y413" t="s">
        <v>535</v>
      </c>
      <c r="Z413" t="s">
        <v>47</v>
      </c>
      <c r="AA413"/>
      <c r="AB413"/>
      <c r="AC413"/>
      <c r="AD413"/>
    </row>
    <row r="414" spans="1:30">
      <c r="A414">
        <v>5110160003</v>
      </c>
      <c r="B414" t="s">
        <v>30</v>
      </c>
      <c r="C414" t="s">
        <v>230</v>
      </c>
      <c r="D414" t="s">
        <v>539</v>
      </c>
      <c r="E414" t="s">
        <v>48</v>
      </c>
      <c r="F414" t="s">
        <v>48</v>
      </c>
      <c r="G414" t="s">
        <v>540</v>
      </c>
      <c r="H414" t="s">
        <v>50</v>
      </c>
      <c r="I414" t="s">
        <v>541</v>
      </c>
      <c r="J414" t="s">
        <v>542</v>
      </c>
      <c r="K414" t="str">
        <f>"20629"</f>
        <v>0</v>
      </c>
      <c r="L414">
        <v>6000</v>
      </c>
      <c r="M414"/>
      <c r="N414" t="s">
        <v>38</v>
      </c>
      <c r="O414" t="s">
        <v>38</v>
      </c>
      <c r="P414" t="s">
        <v>53</v>
      </c>
      <c r="Q414" t="s">
        <v>38</v>
      </c>
      <c r="R414" t="s">
        <v>38</v>
      </c>
      <c r="S414" t="s">
        <v>42</v>
      </c>
      <c r="T414" t="s">
        <v>42</v>
      </c>
      <c r="U414" t="s">
        <v>532</v>
      </c>
      <c r="V414" t="s">
        <v>44</v>
      </c>
      <c r="W414" t="s">
        <v>532</v>
      </c>
      <c r="X414" t="s">
        <v>45</v>
      </c>
      <c r="Y414" t="s">
        <v>543</v>
      </c>
      <c r="Z414" t="s">
        <v>47</v>
      </c>
      <c r="AA414"/>
      <c r="AB414"/>
      <c r="AC414"/>
      <c r="AD414"/>
    </row>
    <row r="415" spans="1:30">
      <c r="A415">
        <v>2110060356</v>
      </c>
      <c r="B415" t="s">
        <v>30</v>
      </c>
      <c r="C415" t="s">
        <v>31</v>
      </c>
      <c r="D415" t="s">
        <v>32</v>
      </c>
      <c r="E415" t="s">
        <v>188</v>
      </c>
      <c r="F415" t="s">
        <v>188</v>
      </c>
      <c r="G415" t="s">
        <v>237</v>
      </c>
      <c r="H415" t="s">
        <v>50</v>
      </c>
      <c r="I415" t="s">
        <v>544</v>
      </c>
      <c r="J415" t="s">
        <v>315</v>
      </c>
      <c r="K415" t="str">
        <f>"na"</f>
        <v>0</v>
      </c>
      <c r="L415">
        <v>33075</v>
      </c>
      <c r="M415"/>
      <c r="N415" t="s">
        <v>38</v>
      </c>
      <c r="O415" t="s">
        <v>38</v>
      </c>
      <c r="P415" t="s">
        <v>53</v>
      </c>
      <c r="Q415" t="s">
        <v>38</v>
      </c>
      <c r="R415" t="s">
        <v>38</v>
      </c>
      <c r="S415" t="s">
        <v>42</v>
      </c>
      <c r="T415" t="s">
        <v>42</v>
      </c>
      <c r="U415" t="s">
        <v>532</v>
      </c>
      <c r="V415" t="s">
        <v>395</v>
      </c>
      <c r="W415" t="s">
        <v>532</v>
      </c>
      <c r="X415" t="s">
        <v>45</v>
      </c>
      <c r="Y415" t="s">
        <v>545</v>
      </c>
      <c r="Z415" t="s">
        <v>47</v>
      </c>
      <c r="AA415"/>
      <c r="AB415"/>
      <c r="AC415"/>
      <c r="AD415" t="s">
        <v>445</v>
      </c>
    </row>
    <row r="416" spans="1:30">
      <c r="A416">
        <v>2110060289</v>
      </c>
      <c r="B416" t="s">
        <v>30</v>
      </c>
      <c r="C416" t="s">
        <v>31</v>
      </c>
      <c r="D416" t="s">
        <v>32</v>
      </c>
      <c r="E416" t="s">
        <v>188</v>
      </c>
      <c r="F416" t="s">
        <v>188</v>
      </c>
      <c r="G416" t="s">
        <v>546</v>
      </c>
      <c r="H416" t="s">
        <v>50</v>
      </c>
      <c r="I416" t="s">
        <v>547</v>
      </c>
      <c r="J416" t="s">
        <v>548</v>
      </c>
      <c r="K416" t="str">
        <f>"000333"</f>
        <v>0</v>
      </c>
      <c r="L416">
        <v>134600</v>
      </c>
      <c r="M416"/>
      <c r="N416" t="s">
        <v>38</v>
      </c>
      <c r="O416" t="s">
        <v>38</v>
      </c>
      <c r="P416" t="s">
        <v>53</v>
      </c>
      <c r="Q416" t="s">
        <v>38</v>
      </c>
      <c r="R416" t="s">
        <v>38</v>
      </c>
      <c r="S416" t="s">
        <v>42</v>
      </c>
      <c r="T416" t="s">
        <v>42</v>
      </c>
      <c r="U416" t="s">
        <v>532</v>
      </c>
      <c r="V416" t="s">
        <v>395</v>
      </c>
      <c r="W416" t="s">
        <v>532</v>
      </c>
      <c r="X416" t="s">
        <v>45</v>
      </c>
      <c r="Y416" t="s">
        <v>444</v>
      </c>
      <c r="Z416" t="s">
        <v>47</v>
      </c>
      <c r="AA416"/>
      <c r="AB416"/>
      <c r="AC416"/>
      <c r="AD416" t="s">
        <v>456</v>
      </c>
    </row>
    <row r="417" spans="1:30">
      <c r="A417">
        <v>2110060160</v>
      </c>
      <c r="B417" t="s">
        <v>30</v>
      </c>
      <c r="C417" t="s">
        <v>31</v>
      </c>
      <c r="D417" t="s">
        <v>32</v>
      </c>
      <c r="E417" t="s">
        <v>93</v>
      </c>
      <c r="F417" t="s">
        <v>387</v>
      </c>
      <c r="G417" t="s">
        <v>387</v>
      </c>
      <c r="H417" t="s">
        <v>35</v>
      </c>
      <c r="I417" t="s">
        <v>549</v>
      </c>
      <c r="J417" t="s">
        <v>550</v>
      </c>
      <c r="K417" t="str">
        <f>"36073"</f>
        <v>0</v>
      </c>
      <c r="L417">
        <v>1430000</v>
      </c>
      <c r="M417"/>
      <c r="N417" t="s">
        <v>38</v>
      </c>
      <c r="O417" t="s">
        <v>38</v>
      </c>
      <c r="P417" t="s">
        <v>53</v>
      </c>
      <c r="Q417" t="s">
        <v>38</v>
      </c>
      <c r="R417" t="s">
        <v>38</v>
      </c>
      <c r="S417" t="s">
        <v>42</v>
      </c>
      <c r="T417" t="s">
        <v>42</v>
      </c>
      <c r="U417" t="s">
        <v>532</v>
      </c>
      <c r="V417" t="s">
        <v>45</v>
      </c>
      <c r="W417" t="s">
        <v>532</v>
      </c>
      <c r="X417" t="s">
        <v>45</v>
      </c>
      <c r="Y417" t="s">
        <v>444</v>
      </c>
      <c r="Z417" t="s">
        <v>47</v>
      </c>
      <c r="AA417"/>
      <c r="AB417"/>
      <c r="AC417"/>
      <c r="AD417"/>
    </row>
    <row r="418" spans="1:30">
      <c r="A418">
        <v>2110060158</v>
      </c>
      <c r="B418" t="s">
        <v>30</v>
      </c>
      <c r="C418" t="s">
        <v>31</v>
      </c>
      <c r="D418" t="s">
        <v>32</v>
      </c>
      <c r="E418" t="s">
        <v>93</v>
      </c>
      <c r="F418" t="s">
        <v>387</v>
      </c>
      <c r="G418" t="s">
        <v>387</v>
      </c>
      <c r="H418" t="s">
        <v>35</v>
      </c>
      <c r="I418" t="s">
        <v>549</v>
      </c>
      <c r="J418" t="s">
        <v>550</v>
      </c>
      <c r="K418" t="str">
        <f>"36162"</f>
        <v>0</v>
      </c>
      <c r="L418">
        <v>1430000</v>
      </c>
      <c r="M418"/>
      <c r="N418" t="s">
        <v>38</v>
      </c>
      <c r="O418" t="s">
        <v>38</v>
      </c>
      <c r="P418" t="s">
        <v>53</v>
      </c>
      <c r="Q418" t="s">
        <v>38</v>
      </c>
      <c r="R418" t="s">
        <v>38</v>
      </c>
      <c r="S418" t="s">
        <v>42</v>
      </c>
      <c r="T418" t="s">
        <v>42</v>
      </c>
      <c r="U418" t="s">
        <v>532</v>
      </c>
      <c r="V418" t="s">
        <v>45</v>
      </c>
      <c r="W418" t="s">
        <v>532</v>
      </c>
      <c r="X418" t="s">
        <v>45</v>
      </c>
      <c r="Y418" t="s">
        <v>444</v>
      </c>
      <c r="Z418" t="s">
        <v>47</v>
      </c>
      <c r="AA418"/>
      <c r="AB418"/>
      <c r="AC418"/>
      <c r="AD418"/>
    </row>
    <row r="419" spans="1:30">
      <c r="A419">
        <v>2110060159</v>
      </c>
      <c r="B419" t="s">
        <v>30</v>
      </c>
      <c r="C419" t="s">
        <v>31</v>
      </c>
      <c r="D419" t="s">
        <v>32</v>
      </c>
      <c r="E419" t="s">
        <v>93</v>
      </c>
      <c r="F419" t="s">
        <v>387</v>
      </c>
      <c r="G419" t="s">
        <v>387</v>
      </c>
      <c r="H419" t="s">
        <v>35</v>
      </c>
      <c r="I419" t="s">
        <v>549</v>
      </c>
      <c r="J419" t="s">
        <v>550</v>
      </c>
      <c r="K419" t="str">
        <f>"36132"</f>
        <v>0</v>
      </c>
      <c r="L419">
        <v>1430000</v>
      </c>
      <c r="M419"/>
      <c r="N419" t="s">
        <v>38</v>
      </c>
      <c r="O419" t="s">
        <v>38</v>
      </c>
      <c r="P419" t="s">
        <v>53</v>
      </c>
      <c r="Q419" t="s">
        <v>38</v>
      </c>
      <c r="R419" t="s">
        <v>38</v>
      </c>
      <c r="S419" t="s">
        <v>42</v>
      </c>
      <c r="T419" t="s">
        <v>42</v>
      </c>
      <c r="U419" t="s">
        <v>532</v>
      </c>
      <c r="V419" t="s">
        <v>45</v>
      </c>
      <c r="W419" t="s">
        <v>532</v>
      </c>
      <c r="X419" t="s">
        <v>45</v>
      </c>
      <c r="Y419" t="s">
        <v>444</v>
      </c>
      <c r="Z419" t="s">
        <v>47</v>
      </c>
      <c r="AA419"/>
      <c r="AB419"/>
      <c r="AC419"/>
      <c r="AD419"/>
    </row>
    <row r="420" spans="1:30">
      <c r="A420">
        <v>2110060161</v>
      </c>
      <c r="B420" t="s">
        <v>30</v>
      </c>
      <c r="C420" t="s">
        <v>31</v>
      </c>
      <c r="D420" t="s">
        <v>32</v>
      </c>
      <c r="E420" t="s">
        <v>93</v>
      </c>
      <c r="F420" t="s">
        <v>387</v>
      </c>
      <c r="G420" t="s">
        <v>387</v>
      </c>
      <c r="H420" t="s">
        <v>35</v>
      </c>
      <c r="I420" t="s">
        <v>549</v>
      </c>
      <c r="J420" t="s">
        <v>550</v>
      </c>
      <c r="K420" t="str">
        <f>"36116"</f>
        <v>0</v>
      </c>
      <c r="L420">
        <v>1430000</v>
      </c>
      <c r="M420"/>
      <c r="N420" t="s">
        <v>38</v>
      </c>
      <c r="O420" t="s">
        <v>38</v>
      </c>
      <c r="P420" t="s">
        <v>53</v>
      </c>
      <c r="Q420" t="s">
        <v>38</v>
      </c>
      <c r="R420" t="s">
        <v>38</v>
      </c>
      <c r="S420" t="s">
        <v>42</v>
      </c>
      <c r="T420" t="s">
        <v>42</v>
      </c>
      <c r="U420" t="s">
        <v>532</v>
      </c>
      <c r="V420" t="s">
        <v>45</v>
      </c>
      <c r="W420" t="s">
        <v>532</v>
      </c>
      <c r="X420" t="s">
        <v>45</v>
      </c>
      <c r="Y420" t="s">
        <v>444</v>
      </c>
      <c r="Z420" t="s">
        <v>47</v>
      </c>
      <c r="AA420"/>
      <c r="AB420"/>
      <c r="AC420"/>
      <c r="AD420"/>
    </row>
    <row r="421" spans="1:30">
      <c r="A421">
        <v>2110060358</v>
      </c>
      <c r="B421" t="s">
        <v>30</v>
      </c>
      <c r="C421" t="s">
        <v>31</v>
      </c>
      <c r="D421" t="s">
        <v>32</v>
      </c>
      <c r="E421" t="s">
        <v>72</v>
      </c>
      <c r="F421" t="s">
        <v>387</v>
      </c>
      <c r="G421" t="s">
        <v>387</v>
      </c>
      <c r="H421" t="s">
        <v>35</v>
      </c>
      <c r="I421" t="s">
        <v>168</v>
      </c>
      <c r="J421" t="s">
        <v>551</v>
      </c>
      <c r="K421" t="str">
        <f>"1909ve110"</f>
        <v>0</v>
      </c>
      <c r="L421">
        <v>550790</v>
      </c>
      <c r="M421"/>
      <c r="N421" t="s">
        <v>38</v>
      </c>
      <c r="O421" t="s">
        <v>38</v>
      </c>
      <c r="P421" t="s">
        <v>53</v>
      </c>
      <c r="Q421" t="s">
        <v>38</v>
      </c>
      <c r="R421" t="s">
        <v>38</v>
      </c>
      <c r="S421" t="s">
        <v>42</v>
      </c>
      <c r="T421" t="s">
        <v>42</v>
      </c>
      <c r="U421" t="s">
        <v>532</v>
      </c>
      <c r="V421" t="s">
        <v>395</v>
      </c>
      <c r="W421" t="s">
        <v>532</v>
      </c>
      <c r="X421" t="s">
        <v>45</v>
      </c>
      <c r="Y421" t="s">
        <v>481</v>
      </c>
      <c r="Z421" t="s">
        <v>47</v>
      </c>
      <c r="AA421"/>
      <c r="AB421"/>
      <c r="AC421"/>
      <c r="AD421" t="s">
        <v>456</v>
      </c>
    </row>
    <row r="422" spans="1:30">
      <c r="A422">
        <v>2110060354</v>
      </c>
      <c r="B422" t="s">
        <v>30</v>
      </c>
      <c r="C422" t="s">
        <v>31</v>
      </c>
      <c r="D422" t="s">
        <v>32</v>
      </c>
      <c r="E422" t="s">
        <v>552</v>
      </c>
      <c r="F422" t="s">
        <v>64</v>
      </c>
      <c r="G422" t="s">
        <v>553</v>
      </c>
      <c r="H422" t="s">
        <v>50</v>
      </c>
      <c r="I422" t="s">
        <v>554</v>
      </c>
      <c r="J422" t="s">
        <v>59</v>
      </c>
      <c r="K422" t="str">
        <f>"na"</f>
        <v>0</v>
      </c>
      <c r="L422">
        <v>333000</v>
      </c>
      <c r="M422"/>
      <c r="N422" t="s">
        <v>38</v>
      </c>
      <c r="O422" t="s">
        <v>38</v>
      </c>
      <c r="P422" t="s">
        <v>53</v>
      </c>
      <c r="Q422" t="s">
        <v>38</v>
      </c>
      <c r="R422" t="s">
        <v>38</v>
      </c>
      <c r="S422" t="s">
        <v>42</v>
      </c>
      <c r="T422" t="s">
        <v>42</v>
      </c>
      <c r="U422" t="s">
        <v>555</v>
      </c>
      <c r="V422" t="s">
        <v>395</v>
      </c>
      <c r="W422" t="s">
        <v>555</v>
      </c>
      <c r="X422" t="s">
        <v>45</v>
      </c>
      <c r="Y422" t="s">
        <v>451</v>
      </c>
      <c r="Z422" t="s">
        <v>47</v>
      </c>
      <c r="AA422"/>
      <c r="AB422"/>
      <c r="AC422"/>
      <c r="AD422" t="s">
        <v>456</v>
      </c>
    </row>
    <row r="423" spans="1:30">
      <c r="A423">
        <v>2110060255</v>
      </c>
      <c r="B423" t="s">
        <v>30</v>
      </c>
      <c r="C423" t="s">
        <v>31</v>
      </c>
      <c r="D423" t="s">
        <v>32</v>
      </c>
      <c r="E423" t="s">
        <v>494</v>
      </c>
      <c r="F423" t="s">
        <v>113</v>
      </c>
      <c r="G423" t="s">
        <v>556</v>
      </c>
      <c r="H423" t="s">
        <v>50</v>
      </c>
      <c r="I423" t="s">
        <v>557</v>
      </c>
      <c r="J423" t="s">
        <v>59</v>
      </c>
      <c r="K423" t="str">
        <f>"AA19210-b"</f>
        <v>0</v>
      </c>
      <c r="L423">
        <v>2425000</v>
      </c>
      <c r="M423"/>
      <c r="N423" t="s">
        <v>38</v>
      </c>
      <c r="O423" t="s">
        <v>38</v>
      </c>
      <c r="P423" t="s">
        <v>53</v>
      </c>
      <c r="Q423" t="s">
        <v>38</v>
      </c>
      <c r="R423" t="s">
        <v>38</v>
      </c>
      <c r="S423" t="s">
        <v>42</v>
      </c>
      <c r="T423" t="s">
        <v>42</v>
      </c>
      <c r="U423" t="s">
        <v>555</v>
      </c>
      <c r="V423" t="s">
        <v>395</v>
      </c>
      <c r="W423" t="s">
        <v>555</v>
      </c>
      <c r="X423" t="s">
        <v>45</v>
      </c>
      <c r="Y423" t="s">
        <v>444</v>
      </c>
      <c r="Z423" t="s">
        <v>47</v>
      </c>
      <c r="AA423"/>
      <c r="AB423"/>
      <c r="AC423"/>
      <c r="AD423" t="s">
        <v>456</v>
      </c>
    </row>
    <row r="424" spans="1:30">
      <c r="A424">
        <v>2110060256</v>
      </c>
      <c r="B424" t="s">
        <v>30</v>
      </c>
      <c r="C424" t="s">
        <v>31</v>
      </c>
      <c r="D424" t="s">
        <v>32</v>
      </c>
      <c r="E424" t="s">
        <v>494</v>
      </c>
      <c r="F424" t="s">
        <v>113</v>
      </c>
      <c r="G424" t="s">
        <v>556</v>
      </c>
      <c r="H424" t="s">
        <v>50</v>
      </c>
      <c r="I424" t="s">
        <v>557</v>
      </c>
      <c r="J424" t="s">
        <v>59</v>
      </c>
      <c r="K424" t="str">
        <f>"pz-21533-b"</f>
        <v>0</v>
      </c>
      <c r="L424">
        <v>2425000</v>
      </c>
      <c r="M424"/>
      <c r="N424" t="s">
        <v>38</v>
      </c>
      <c r="O424" t="s">
        <v>38</v>
      </c>
      <c r="P424" t="s">
        <v>53</v>
      </c>
      <c r="Q424" t="s">
        <v>38</v>
      </c>
      <c r="R424" t="s">
        <v>38</v>
      </c>
      <c r="S424" t="s">
        <v>42</v>
      </c>
      <c r="T424" t="s">
        <v>42</v>
      </c>
      <c r="U424" t="s">
        <v>555</v>
      </c>
      <c r="V424" t="s">
        <v>395</v>
      </c>
      <c r="W424" t="s">
        <v>555</v>
      </c>
      <c r="X424" t="s">
        <v>45</v>
      </c>
      <c r="Y424" t="s">
        <v>444</v>
      </c>
      <c r="Z424" t="s">
        <v>47</v>
      </c>
      <c r="AA424"/>
      <c r="AB424"/>
      <c r="AC424"/>
      <c r="AD424" t="s">
        <v>445</v>
      </c>
    </row>
    <row r="425" spans="1:30">
      <c r="A425">
        <v>2110060359</v>
      </c>
      <c r="B425" t="s">
        <v>30</v>
      </c>
      <c r="C425" t="s">
        <v>31</v>
      </c>
      <c r="D425" t="s">
        <v>32</v>
      </c>
      <c r="E425" t="s">
        <v>344</v>
      </c>
      <c r="F425" t="s">
        <v>64</v>
      </c>
      <c r="G425" t="s">
        <v>65</v>
      </c>
      <c r="H425" t="s">
        <v>50</v>
      </c>
      <c r="I425" t="s">
        <v>66</v>
      </c>
      <c r="J425" t="s">
        <v>558</v>
      </c>
      <c r="K425" t="str">
        <f>"na"</f>
        <v>0</v>
      </c>
      <c r="L425">
        <v>205357</v>
      </c>
      <c r="M425"/>
      <c r="N425" t="s">
        <v>38</v>
      </c>
      <c r="O425" t="s">
        <v>38</v>
      </c>
      <c r="P425" t="s">
        <v>53</v>
      </c>
      <c r="Q425" t="s">
        <v>559</v>
      </c>
      <c r="R425" t="s">
        <v>69</v>
      </c>
      <c r="S425" t="s">
        <v>42</v>
      </c>
      <c r="T425" t="s">
        <v>42</v>
      </c>
      <c r="U425" t="s">
        <v>555</v>
      </c>
      <c r="V425" t="s">
        <v>395</v>
      </c>
      <c r="W425" t="s">
        <v>555</v>
      </c>
      <c r="X425" t="s">
        <v>45</v>
      </c>
      <c r="Y425" t="s">
        <v>481</v>
      </c>
      <c r="Z425" t="s">
        <v>47</v>
      </c>
      <c r="AA425"/>
      <c r="AB425"/>
      <c r="AC425"/>
      <c r="AD425" t="s">
        <v>560</v>
      </c>
    </row>
    <row r="426" spans="1:30">
      <c r="A426">
        <v>2110060297</v>
      </c>
      <c r="B426" t="s">
        <v>30</v>
      </c>
      <c r="C426" t="s">
        <v>31</v>
      </c>
      <c r="D426" t="s">
        <v>32</v>
      </c>
      <c r="E426" t="s">
        <v>93</v>
      </c>
      <c r="F426" t="s">
        <v>561</v>
      </c>
      <c r="G426" t="s">
        <v>562</v>
      </c>
      <c r="H426" t="s">
        <v>50</v>
      </c>
      <c r="I426" t="s">
        <v>563</v>
      </c>
      <c r="J426" t="s">
        <v>564</v>
      </c>
      <c r="K426" t="str">
        <f>"sbs-202107-b01403"</f>
        <v>0</v>
      </c>
      <c r="L426">
        <v>354500</v>
      </c>
      <c r="M426"/>
      <c r="N426" t="s">
        <v>38</v>
      </c>
      <c r="O426" t="s">
        <v>38</v>
      </c>
      <c r="P426" t="s">
        <v>53</v>
      </c>
      <c r="Q426" t="s">
        <v>38</v>
      </c>
      <c r="R426" t="s">
        <v>38</v>
      </c>
      <c r="S426" t="s">
        <v>42</v>
      </c>
      <c r="T426" t="s">
        <v>42</v>
      </c>
      <c r="U426" t="s">
        <v>555</v>
      </c>
      <c r="V426" t="s">
        <v>395</v>
      </c>
      <c r="W426" t="s">
        <v>555</v>
      </c>
      <c r="X426" t="s">
        <v>45</v>
      </c>
      <c r="Y426" t="s">
        <v>444</v>
      </c>
      <c r="Z426" t="s">
        <v>47</v>
      </c>
      <c r="AA426"/>
      <c r="AB426"/>
      <c r="AC426"/>
      <c r="AD426" t="s">
        <v>456</v>
      </c>
    </row>
    <row r="427" spans="1:30">
      <c r="A427">
        <v>2110060308</v>
      </c>
      <c r="B427" t="s">
        <v>30</v>
      </c>
      <c r="C427" t="s">
        <v>31</v>
      </c>
      <c r="D427" t="s">
        <v>32</v>
      </c>
      <c r="E427" t="s">
        <v>565</v>
      </c>
      <c r="F427" t="s">
        <v>90</v>
      </c>
      <c r="G427" t="s">
        <v>566</v>
      </c>
      <c r="H427" t="s">
        <v>35</v>
      </c>
      <c r="I427" t="s">
        <v>567</v>
      </c>
      <c r="J427" t="s">
        <v>59</v>
      </c>
      <c r="K427" t="str">
        <f>"na"</f>
        <v>0</v>
      </c>
      <c r="L427">
        <v>700000</v>
      </c>
      <c r="M427"/>
      <c r="N427" t="s">
        <v>38</v>
      </c>
      <c r="O427" t="s">
        <v>38</v>
      </c>
      <c r="P427" t="s">
        <v>53</v>
      </c>
      <c r="Q427" t="s">
        <v>38</v>
      </c>
      <c r="R427" t="s">
        <v>38</v>
      </c>
      <c r="S427" t="s">
        <v>266</v>
      </c>
      <c r="T427" t="s">
        <v>266</v>
      </c>
      <c r="U427" t="s">
        <v>555</v>
      </c>
      <c r="V427" t="s">
        <v>395</v>
      </c>
      <c r="W427" t="s">
        <v>555</v>
      </c>
      <c r="X427" t="s">
        <v>45</v>
      </c>
      <c r="Y427" t="s">
        <v>444</v>
      </c>
      <c r="Z427" t="s">
        <v>70</v>
      </c>
      <c r="AA427"/>
      <c r="AB427"/>
      <c r="AC427"/>
      <c r="AD427" t="s">
        <v>445</v>
      </c>
    </row>
    <row r="428" spans="1:30">
      <c r="A428">
        <v>5110170007</v>
      </c>
      <c r="B428" t="s">
        <v>30</v>
      </c>
      <c r="C428" t="s">
        <v>230</v>
      </c>
      <c r="D428" t="s">
        <v>537</v>
      </c>
      <c r="E428" t="s">
        <v>538</v>
      </c>
      <c r="F428" t="s">
        <v>147</v>
      </c>
      <c r="G428" t="s">
        <v>148</v>
      </c>
      <c r="H428" t="s">
        <v>35</v>
      </c>
      <c r="I428" t="s">
        <v>568</v>
      </c>
      <c r="J428" t="s">
        <v>569</v>
      </c>
      <c r="K428" t="str">
        <f>"E61cw81060051"</f>
        <v>0</v>
      </c>
      <c r="L428">
        <v>60000</v>
      </c>
      <c r="M428"/>
      <c r="N428" t="s">
        <v>38</v>
      </c>
      <c r="O428" t="s">
        <v>38</v>
      </c>
      <c r="P428" t="s">
        <v>53</v>
      </c>
      <c r="Q428" t="s">
        <v>38</v>
      </c>
      <c r="R428" t="s">
        <v>38</v>
      </c>
      <c r="S428" t="s">
        <v>42</v>
      </c>
      <c r="T428" t="s">
        <v>42</v>
      </c>
      <c r="U428" t="s">
        <v>555</v>
      </c>
      <c r="V428" t="s">
        <v>44</v>
      </c>
      <c r="W428" t="s">
        <v>555</v>
      </c>
      <c r="X428" t="s">
        <v>45</v>
      </c>
      <c r="Y428" t="s">
        <v>535</v>
      </c>
      <c r="Z428" t="s">
        <v>47</v>
      </c>
      <c r="AA428"/>
      <c r="AB428"/>
      <c r="AC428"/>
      <c r="AD428"/>
    </row>
    <row r="429" spans="1:30">
      <c r="A429">
        <v>2110060239</v>
      </c>
      <c r="B429" t="s">
        <v>30</v>
      </c>
      <c r="C429" t="s">
        <v>31</v>
      </c>
      <c r="D429" t="s">
        <v>32</v>
      </c>
      <c r="E429" t="s">
        <v>215</v>
      </c>
      <c r="F429" t="s">
        <v>48</v>
      </c>
      <c r="G429" t="s">
        <v>570</v>
      </c>
      <c r="H429" t="s">
        <v>50</v>
      </c>
      <c r="I429" t="s">
        <v>375</v>
      </c>
      <c r="J429" t="s">
        <v>59</v>
      </c>
      <c r="K429" t="str">
        <f>"na"</f>
        <v>0</v>
      </c>
      <c r="L429">
        <v>25000</v>
      </c>
      <c r="M429"/>
      <c r="N429" t="s">
        <v>38</v>
      </c>
      <c r="O429" t="s">
        <v>38</v>
      </c>
      <c r="P429" t="s">
        <v>53</v>
      </c>
      <c r="Q429" t="s">
        <v>38</v>
      </c>
      <c r="R429" t="s">
        <v>38</v>
      </c>
      <c r="S429" t="s">
        <v>266</v>
      </c>
      <c r="T429" t="s">
        <v>266</v>
      </c>
      <c r="U429" t="s">
        <v>555</v>
      </c>
      <c r="V429" t="s">
        <v>44</v>
      </c>
      <c r="W429" t="s">
        <v>555</v>
      </c>
      <c r="X429" t="s">
        <v>45</v>
      </c>
      <c r="Y429" t="s">
        <v>529</v>
      </c>
      <c r="Z429" t="s">
        <v>70</v>
      </c>
      <c r="AA429"/>
      <c r="AB429"/>
      <c r="AC429"/>
      <c r="AD429"/>
    </row>
    <row r="430" spans="1:30">
      <c r="A430">
        <v>2110060357</v>
      </c>
      <c r="B430" t="s">
        <v>30</v>
      </c>
      <c r="C430" t="s">
        <v>31</v>
      </c>
      <c r="D430" t="s">
        <v>32</v>
      </c>
      <c r="E430" t="s">
        <v>188</v>
      </c>
      <c r="F430" t="s">
        <v>188</v>
      </c>
      <c r="G430" t="s">
        <v>189</v>
      </c>
      <c r="H430" t="s">
        <v>50</v>
      </c>
      <c r="I430" t="s">
        <v>571</v>
      </c>
      <c r="J430" t="s">
        <v>572</v>
      </c>
      <c r="K430" t="str">
        <f>"na"</f>
        <v>0</v>
      </c>
      <c r="L430">
        <v>60000</v>
      </c>
      <c r="M430"/>
      <c r="N430" t="s">
        <v>38</v>
      </c>
      <c r="O430" t="s">
        <v>38</v>
      </c>
      <c r="P430" t="s">
        <v>53</v>
      </c>
      <c r="Q430" t="s">
        <v>38</v>
      </c>
      <c r="R430" t="s">
        <v>38</v>
      </c>
      <c r="S430" t="s">
        <v>266</v>
      </c>
      <c r="T430" t="s">
        <v>266</v>
      </c>
      <c r="U430" t="s">
        <v>555</v>
      </c>
      <c r="V430" t="s">
        <v>395</v>
      </c>
      <c r="W430" t="s">
        <v>555</v>
      </c>
      <c r="X430" t="s">
        <v>45</v>
      </c>
      <c r="Y430" t="s">
        <v>481</v>
      </c>
      <c r="Z430" t="s">
        <v>70</v>
      </c>
      <c r="AA430"/>
      <c r="AB430"/>
      <c r="AC430"/>
      <c r="AD430" t="s">
        <v>445</v>
      </c>
    </row>
    <row r="431" spans="1:30">
      <c r="A431">
        <v>2110060355</v>
      </c>
      <c r="B431" t="s">
        <v>30</v>
      </c>
      <c r="C431" t="s">
        <v>31</v>
      </c>
      <c r="D431" t="s">
        <v>32</v>
      </c>
      <c r="E431" t="s">
        <v>188</v>
      </c>
      <c r="F431" t="s">
        <v>188</v>
      </c>
      <c r="G431" t="s">
        <v>573</v>
      </c>
      <c r="H431" t="s">
        <v>50</v>
      </c>
      <c r="I431" t="s">
        <v>100</v>
      </c>
      <c r="J431" t="s">
        <v>59</v>
      </c>
      <c r="K431" t="str">
        <f>"na"</f>
        <v>0</v>
      </c>
      <c r="L431">
        <v>35000</v>
      </c>
      <c r="M431"/>
      <c r="N431" t="s">
        <v>38</v>
      </c>
      <c r="O431" t="s">
        <v>38</v>
      </c>
      <c r="P431" t="s">
        <v>53</v>
      </c>
      <c r="Q431" t="s">
        <v>38</v>
      </c>
      <c r="R431" t="s">
        <v>38</v>
      </c>
      <c r="S431" t="s">
        <v>42</v>
      </c>
      <c r="T431" t="s">
        <v>42</v>
      </c>
      <c r="U431" t="s">
        <v>555</v>
      </c>
      <c r="V431" t="s">
        <v>395</v>
      </c>
      <c r="W431" t="s">
        <v>555</v>
      </c>
      <c r="X431" t="s">
        <v>45</v>
      </c>
      <c r="Y431" t="s">
        <v>481</v>
      </c>
      <c r="Z431" t="s">
        <v>47</v>
      </c>
      <c r="AA431"/>
      <c r="AB431"/>
      <c r="AC431"/>
      <c r="AD431" t="s">
        <v>445</v>
      </c>
    </row>
    <row r="432" spans="1:30">
      <c r="A432">
        <v>2110060422</v>
      </c>
      <c r="B432" t="s">
        <v>30</v>
      </c>
      <c r="C432" t="s">
        <v>31</v>
      </c>
      <c r="D432" t="s">
        <v>32</v>
      </c>
      <c r="E432" t="s">
        <v>359</v>
      </c>
      <c r="F432" t="s">
        <v>80</v>
      </c>
      <c r="G432" t="s">
        <v>81</v>
      </c>
      <c r="H432" t="s">
        <v>50</v>
      </c>
      <c r="I432" t="s">
        <v>82</v>
      </c>
      <c r="J432" t="s">
        <v>528</v>
      </c>
      <c r="K432" t="str">
        <f>"q485479"</f>
        <v>0</v>
      </c>
      <c r="L432">
        <v>15000</v>
      </c>
      <c r="M432"/>
      <c r="N432" t="s">
        <v>38</v>
      </c>
      <c r="O432" t="s">
        <v>38</v>
      </c>
      <c r="P432" t="s">
        <v>53</v>
      </c>
      <c r="Q432" t="s">
        <v>38</v>
      </c>
      <c r="R432" t="s">
        <v>38</v>
      </c>
      <c r="S432" t="s">
        <v>42</v>
      </c>
      <c r="T432" t="s">
        <v>42</v>
      </c>
      <c r="U432" t="s">
        <v>555</v>
      </c>
      <c r="V432" t="s">
        <v>44</v>
      </c>
      <c r="W432" t="s">
        <v>555</v>
      </c>
      <c r="X432" t="s">
        <v>45</v>
      </c>
      <c r="Y432" t="s">
        <v>529</v>
      </c>
      <c r="Z432" t="s">
        <v>47</v>
      </c>
      <c r="AA432"/>
      <c r="AB432"/>
      <c r="AC432"/>
      <c r="AD432"/>
    </row>
    <row r="433" spans="1:30">
      <c r="A433">
        <v>2110060280</v>
      </c>
      <c r="B433" t="s">
        <v>30</v>
      </c>
      <c r="C433" t="s">
        <v>31</v>
      </c>
      <c r="D433" t="s">
        <v>32</v>
      </c>
      <c r="E433" t="s">
        <v>55</v>
      </c>
      <c r="F433" t="s">
        <v>147</v>
      </c>
      <c r="G433" t="s">
        <v>360</v>
      </c>
      <c r="H433" t="s">
        <v>35</v>
      </c>
      <c r="I433" t="s">
        <v>432</v>
      </c>
      <c r="J433" t="s">
        <v>574</v>
      </c>
      <c r="K433" t="str">
        <f>"16388"</f>
        <v>0</v>
      </c>
      <c r="L433">
        <v>548000</v>
      </c>
      <c r="M433"/>
      <c r="N433" t="s">
        <v>38</v>
      </c>
      <c r="O433" t="s">
        <v>38</v>
      </c>
      <c r="P433" t="s">
        <v>53</v>
      </c>
      <c r="Q433" t="s">
        <v>38</v>
      </c>
      <c r="R433" t="s">
        <v>38</v>
      </c>
      <c r="S433" t="s">
        <v>42</v>
      </c>
      <c r="T433" t="s">
        <v>42</v>
      </c>
      <c r="U433" t="s">
        <v>575</v>
      </c>
      <c r="V433" t="s">
        <v>395</v>
      </c>
      <c r="W433" t="s">
        <v>575</v>
      </c>
      <c r="X433" t="s">
        <v>45</v>
      </c>
      <c r="Y433" t="s">
        <v>234</v>
      </c>
      <c r="Z433" t="s">
        <v>47</v>
      </c>
      <c r="AA433"/>
      <c r="AB433"/>
      <c r="AC433"/>
      <c r="AD433" t="s">
        <v>456</v>
      </c>
    </row>
    <row r="434" spans="1:30">
      <c r="A434">
        <v>2110060420</v>
      </c>
      <c r="B434" t="s">
        <v>30</v>
      </c>
      <c r="C434" t="s">
        <v>31</v>
      </c>
      <c r="D434" t="s">
        <v>32</v>
      </c>
      <c r="E434" t="s">
        <v>446</v>
      </c>
      <c r="F434" t="s">
        <v>576</v>
      </c>
      <c r="G434" t="s">
        <v>577</v>
      </c>
      <c r="H434" t="s">
        <v>35</v>
      </c>
      <c r="I434" t="s">
        <v>578</v>
      </c>
      <c r="J434" t="s">
        <v>579</v>
      </c>
      <c r="K434" t="str">
        <f>"23201603099"</f>
        <v>0</v>
      </c>
      <c r="L434">
        <v>250000</v>
      </c>
      <c r="M434"/>
      <c r="N434" t="s">
        <v>38</v>
      </c>
      <c r="O434" t="s">
        <v>38</v>
      </c>
      <c r="P434" t="s">
        <v>53</v>
      </c>
      <c r="Q434" t="s">
        <v>38</v>
      </c>
      <c r="R434" t="s">
        <v>38</v>
      </c>
      <c r="S434" t="s">
        <v>42</v>
      </c>
      <c r="T434" t="s">
        <v>42</v>
      </c>
      <c r="U434" t="s">
        <v>575</v>
      </c>
      <c r="V434" t="s">
        <v>44</v>
      </c>
      <c r="W434" t="s">
        <v>575</v>
      </c>
      <c r="X434" t="s">
        <v>45</v>
      </c>
      <c r="Y434" t="s">
        <v>580</v>
      </c>
      <c r="Z434" t="s">
        <v>47</v>
      </c>
      <c r="AA434"/>
      <c r="AB434"/>
      <c r="AC434"/>
      <c r="AD434"/>
    </row>
    <row r="435" spans="1:30">
      <c r="A435">
        <v>2110060421</v>
      </c>
      <c r="B435" t="s">
        <v>30</v>
      </c>
      <c r="C435" t="s">
        <v>31</v>
      </c>
      <c r="D435" t="s">
        <v>32</v>
      </c>
      <c r="E435" t="s">
        <v>446</v>
      </c>
      <c r="F435" t="s">
        <v>576</v>
      </c>
      <c r="G435" t="s">
        <v>577</v>
      </c>
      <c r="H435" t="s">
        <v>35</v>
      </c>
      <c r="I435" t="s">
        <v>578</v>
      </c>
      <c r="J435" t="s">
        <v>581</v>
      </c>
      <c r="K435" t="str">
        <f>"23201603361"</f>
        <v>0</v>
      </c>
      <c r="L435">
        <v>250000</v>
      </c>
      <c r="M435"/>
      <c r="N435" t="s">
        <v>38</v>
      </c>
      <c r="O435" t="s">
        <v>38</v>
      </c>
      <c r="P435" t="s">
        <v>53</v>
      </c>
      <c r="Q435" t="s">
        <v>38</v>
      </c>
      <c r="R435" t="s">
        <v>38</v>
      </c>
      <c r="S435" t="s">
        <v>42</v>
      </c>
      <c r="T435" t="s">
        <v>42</v>
      </c>
      <c r="U435" t="s">
        <v>575</v>
      </c>
      <c r="V435" t="s">
        <v>44</v>
      </c>
      <c r="W435" t="s">
        <v>575</v>
      </c>
      <c r="X435" t="s">
        <v>45</v>
      </c>
      <c r="Y435" t="s">
        <v>580</v>
      </c>
      <c r="Z435" t="s">
        <v>47</v>
      </c>
      <c r="AA435"/>
      <c r="AB435"/>
      <c r="AC435"/>
      <c r="AD435"/>
    </row>
    <row r="436" spans="1:30">
      <c r="A436">
        <v>2110060298</v>
      </c>
      <c r="B436" t="s">
        <v>30</v>
      </c>
      <c r="C436" t="s">
        <v>31</v>
      </c>
      <c r="D436" t="s">
        <v>32</v>
      </c>
      <c r="E436" t="s">
        <v>93</v>
      </c>
      <c r="F436" t="s">
        <v>93</v>
      </c>
      <c r="G436" t="s">
        <v>577</v>
      </c>
      <c r="H436" t="s">
        <v>35</v>
      </c>
      <c r="I436" t="s">
        <v>582</v>
      </c>
      <c r="J436" t="s">
        <v>583</v>
      </c>
      <c r="K436" t="str">
        <f>"E2318C04324"</f>
        <v>0</v>
      </c>
      <c r="L436">
        <v>200000</v>
      </c>
      <c r="M436"/>
      <c r="N436" t="s">
        <v>38</v>
      </c>
      <c r="O436" t="s">
        <v>38</v>
      </c>
      <c r="P436" t="s">
        <v>53</v>
      </c>
      <c r="Q436" t="s">
        <v>38</v>
      </c>
      <c r="R436" t="s">
        <v>38</v>
      </c>
      <c r="S436" t="s">
        <v>42</v>
      </c>
      <c r="T436" t="s">
        <v>42</v>
      </c>
      <c r="U436" t="s">
        <v>575</v>
      </c>
      <c r="V436" t="s">
        <v>395</v>
      </c>
      <c r="W436" t="s">
        <v>575</v>
      </c>
      <c r="X436" t="s">
        <v>45</v>
      </c>
      <c r="Y436" t="s">
        <v>444</v>
      </c>
      <c r="Z436" t="s">
        <v>47</v>
      </c>
      <c r="AA436"/>
      <c r="AB436"/>
      <c r="AC436"/>
      <c r="AD436" t="s">
        <v>456</v>
      </c>
    </row>
    <row r="437" spans="1:30">
      <c r="A437">
        <v>2110060299</v>
      </c>
      <c r="B437" t="s">
        <v>30</v>
      </c>
      <c r="C437" t="s">
        <v>31</v>
      </c>
      <c r="D437" t="s">
        <v>32</v>
      </c>
      <c r="E437" t="s">
        <v>93</v>
      </c>
      <c r="F437" t="s">
        <v>93</v>
      </c>
      <c r="G437" t="s">
        <v>577</v>
      </c>
      <c r="H437" t="s">
        <v>35</v>
      </c>
      <c r="I437" t="s">
        <v>582</v>
      </c>
      <c r="J437" t="s">
        <v>583</v>
      </c>
      <c r="K437" t="str">
        <f>"E2318C04172"</f>
        <v>0</v>
      </c>
      <c r="L437">
        <v>200000</v>
      </c>
      <c r="M437"/>
      <c r="N437" t="s">
        <v>38</v>
      </c>
      <c r="O437" t="s">
        <v>38</v>
      </c>
      <c r="P437" t="s">
        <v>53</v>
      </c>
      <c r="Q437" t="s">
        <v>38</v>
      </c>
      <c r="R437" t="s">
        <v>38</v>
      </c>
      <c r="S437" t="s">
        <v>42</v>
      </c>
      <c r="T437" t="s">
        <v>42</v>
      </c>
      <c r="U437" t="s">
        <v>575</v>
      </c>
      <c r="V437" t="s">
        <v>395</v>
      </c>
      <c r="W437" t="s">
        <v>575</v>
      </c>
      <c r="X437" t="s">
        <v>45</v>
      </c>
      <c r="Y437" t="s">
        <v>444</v>
      </c>
      <c r="Z437" t="s">
        <v>47</v>
      </c>
      <c r="AA437"/>
      <c r="AB437"/>
      <c r="AC437"/>
      <c r="AD437" t="s">
        <v>456</v>
      </c>
    </row>
    <row r="438" spans="1:30">
      <c r="A438">
        <v>2110060305</v>
      </c>
      <c r="B438" t="s">
        <v>30</v>
      </c>
      <c r="C438" t="s">
        <v>31</v>
      </c>
      <c r="D438" t="s">
        <v>32</v>
      </c>
      <c r="E438" t="s">
        <v>55</v>
      </c>
      <c r="F438" t="s">
        <v>113</v>
      </c>
      <c r="G438" t="s">
        <v>114</v>
      </c>
      <c r="H438" t="s">
        <v>35</v>
      </c>
      <c r="I438" t="s">
        <v>115</v>
      </c>
      <c r="J438" t="s">
        <v>584</v>
      </c>
      <c r="K438" t="str">
        <f>"Asg-L1508194"</f>
        <v>0</v>
      </c>
      <c r="L438">
        <v>79420</v>
      </c>
      <c r="M438"/>
      <c r="N438" t="s">
        <v>38</v>
      </c>
      <c r="O438" t="s">
        <v>38</v>
      </c>
      <c r="P438" t="s">
        <v>53</v>
      </c>
      <c r="Q438" t="s">
        <v>38</v>
      </c>
      <c r="R438" t="s">
        <v>38</v>
      </c>
      <c r="S438" t="s">
        <v>42</v>
      </c>
      <c r="T438" t="s">
        <v>42</v>
      </c>
      <c r="U438" t="s">
        <v>575</v>
      </c>
      <c r="V438" t="s">
        <v>44</v>
      </c>
      <c r="W438" t="s">
        <v>575</v>
      </c>
      <c r="X438" t="s">
        <v>45</v>
      </c>
      <c r="Y438" t="s">
        <v>444</v>
      </c>
      <c r="Z438" t="s">
        <v>47</v>
      </c>
      <c r="AA438"/>
      <c r="AB438"/>
      <c r="AC438"/>
      <c r="AD438"/>
    </row>
    <row r="439" spans="1:30">
      <c r="A439">
        <v>2110060361</v>
      </c>
      <c r="B439" t="s">
        <v>30</v>
      </c>
      <c r="C439" t="s">
        <v>31</v>
      </c>
      <c r="D439" t="s">
        <v>32</v>
      </c>
      <c r="E439" t="s">
        <v>585</v>
      </c>
      <c r="F439" t="s">
        <v>33</v>
      </c>
      <c r="G439" t="s">
        <v>586</v>
      </c>
      <c r="H439" t="s">
        <v>35</v>
      </c>
      <c r="I439" t="s">
        <v>587</v>
      </c>
      <c r="J439" t="s">
        <v>588</v>
      </c>
      <c r="K439" t="str">
        <f>"91147192"</f>
        <v>0</v>
      </c>
      <c r="L439">
        <v>595000</v>
      </c>
      <c r="M439"/>
      <c r="N439" t="s">
        <v>38</v>
      </c>
      <c r="O439" t="s">
        <v>38</v>
      </c>
      <c r="P439" t="s">
        <v>53</v>
      </c>
      <c r="Q439" t="s">
        <v>38</v>
      </c>
      <c r="R439" t="s">
        <v>38</v>
      </c>
      <c r="S439" t="s">
        <v>42</v>
      </c>
      <c r="T439" t="s">
        <v>42</v>
      </c>
      <c r="U439" t="s">
        <v>575</v>
      </c>
      <c r="V439" t="s">
        <v>395</v>
      </c>
      <c r="W439" t="s">
        <v>575</v>
      </c>
      <c r="X439" t="s">
        <v>45</v>
      </c>
      <c r="Y439" t="s">
        <v>481</v>
      </c>
      <c r="Z439" t="s">
        <v>47</v>
      </c>
      <c r="AA439"/>
      <c r="AB439"/>
      <c r="AC439"/>
      <c r="AD439" t="s">
        <v>445</v>
      </c>
    </row>
    <row r="440" spans="1:30">
      <c r="A440">
        <v>2110060307</v>
      </c>
      <c r="B440" t="s">
        <v>30</v>
      </c>
      <c r="C440" t="s">
        <v>31</v>
      </c>
      <c r="D440" t="s">
        <v>32</v>
      </c>
      <c r="E440" t="s">
        <v>565</v>
      </c>
      <c r="F440" t="s">
        <v>387</v>
      </c>
      <c r="G440" t="s">
        <v>388</v>
      </c>
      <c r="H440" t="s">
        <v>50</v>
      </c>
      <c r="I440" t="s">
        <v>375</v>
      </c>
      <c r="J440" t="s">
        <v>59</v>
      </c>
      <c r="K440" t="str">
        <f>"na"</f>
        <v>0</v>
      </c>
      <c r="L440">
        <v>60000</v>
      </c>
      <c r="M440"/>
      <c r="N440" t="s">
        <v>38</v>
      </c>
      <c r="O440" t="s">
        <v>38</v>
      </c>
      <c r="P440" t="s">
        <v>53</v>
      </c>
      <c r="Q440" t="s">
        <v>38</v>
      </c>
      <c r="R440" t="s">
        <v>38</v>
      </c>
      <c r="S440" t="s">
        <v>42</v>
      </c>
      <c r="T440" t="s">
        <v>42</v>
      </c>
      <c r="U440" t="s">
        <v>575</v>
      </c>
      <c r="V440" t="s">
        <v>44</v>
      </c>
      <c r="W440" t="s">
        <v>575</v>
      </c>
      <c r="X440" t="s">
        <v>45</v>
      </c>
      <c r="Y440" t="s">
        <v>444</v>
      </c>
      <c r="Z440" t="s">
        <v>47</v>
      </c>
      <c r="AA440"/>
      <c r="AB440"/>
      <c r="AC440"/>
      <c r="AD440"/>
    </row>
    <row r="441" spans="1:30">
      <c r="A441">
        <v>2110060310</v>
      </c>
      <c r="B441" t="s">
        <v>30</v>
      </c>
      <c r="C441" t="s">
        <v>31</v>
      </c>
      <c r="D441" t="s">
        <v>32</v>
      </c>
      <c r="E441" t="s">
        <v>446</v>
      </c>
      <c r="F441" t="s">
        <v>48</v>
      </c>
      <c r="G441" t="s">
        <v>589</v>
      </c>
      <c r="H441" t="s">
        <v>35</v>
      </c>
      <c r="I441" t="s">
        <v>590</v>
      </c>
      <c r="J441" t="s">
        <v>591</v>
      </c>
      <c r="K441" t="str">
        <f>"376348"</f>
        <v>0</v>
      </c>
      <c r="L441">
        <v>746000</v>
      </c>
      <c r="M441"/>
      <c r="N441" t="s">
        <v>38</v>
      </c>
      <c r="O441" t="s">
        <v>38</v>
      </c>
      <c r="P441" t="s">
        <v>53</v>
      </c>
      <c r="Q441" t="s">
        <v>38</v>
      </c>
      <c r="R441" t="s">
        <v>38</v>
      </c>
      <c r="S441" t="s">
        <v>42</v>
      </c>
      <c r="T441" t="s">
        <v>42</v>
      </c>
      <c r="U441" t="s">
        <v>575</v>
      </c>
      <c r="V441" t="s">
        <v>44</v>
      </c>
      <c r="W441" t="s">
        <v>575</v>
      </c>
      <c r="X441" t="s">
        <v>45</v>
      </c>
      <c r="Y441" t="s">
        <v>449</v>
      </c>
      <c r="Z441" t="s">
        <v>47</v>
      </c>
      <c r="AA441"/>
      <c r="AB441"/>
      <c r="AC441"/>
      <c r="AD441"/>
    </row>
    <row r="442" spans="1:30">
      <c r="A442">
        <v>5110170003</v>
      </c>
      <c r="B442" t="s">
        <v>30</v>
      </c>
      <c r="C442" t="s">
        <v>230</v>
      </c>
      <c r="D442" t="s">
        <v>537</v>
      </c>
      <c r="E442" t="s">
        <v>48</v>
      </c>
      <c r="F442" t="s">
        <v>48</v>
      </c>
      <c r="G442" t="s">
        <v>530</v>
      </c>
      <c r="H442" t="s">
        <v>50</v>
      </c>
      <c r="I442" t="s">
        <v>592</v>
      </c>
      <c r="J442" t="s">
        <v>59</v>
      </c>
      <c r="K442" t="str">
        <f>"na"</f>
        <v>0</v>
      </c>
      <c r="L442">
        <v>48000</v>
      </c>
      <c r="M442"/>
      <c r="N442" t="s">
        <v>38</v>
      </c>
      <c r="O442" t="s">
        <v>38</v>
      </c>
      <c r="P442" t="s">
        <v>53</v>
      </c>
      <c r="Q442" t="s">
        <v>38</v>
      </c>
      <c r="R442" t="s">
        <v>38</v>
      </c>
      <c r="S442" t="s">
        <v>42</v>
      </c>
      <c r="T442" t="s">
        <v>42</v>
      </c>
      <c r="U442" t="s">
        <v>575</v>
      </c>
      <c r="V442" t="s">
        <v>44</v>
      </c>
      <c r="W442" t="s">
        <v>575</v>
      </c>
      <c r="X442" t="s">
        <v>45</v>
      </c>
      <c r="Y442" t="s">
        <v>535</v>
      </c>
      <c r="Z442" t="s">
        <v>47</v>
      </c>
      <c r="AA442"/>
      <c r="AB442"/>
      <c r="AC442"/>
      <c r="AD442"/>
    </row>
    <row r="443" spans="1:30">
      <c r="A443">
        <v>6110230001</v>
      </c>
      <c r="B443" t="s">
        <v>30</v>
      </c>
      <c r="C443" t="s">
        <v>429</v>
      </c>
      <c r="D443" t="s">
        <v>593</v>
      </c>
      <c r="E443" t="s">
        <v>48</v>
      </c>
      <c r="F443" t="s">
        <v>48</v>
      </c>
      <c r="G443" t="s">
        <v>530</v>
      </c>
      <c r="H443" t="s">
        <v>50</v>
      </c>
      <c r="I443" t="s">
        <v>100</v>
      </c>
      <c r="J443" t="s">
        <v>59</v>
      </c>
      <c r="K443" t="str">
        <f>"na"</f>
        <v>0</v>
      </c>
      <c r="L443">
        <v>48000</v>
      </c>
      <c r="M443"/>
      <c r="N443" t="s">
        <v>38</v>
      </c>
      <c r="O443" t="s">
        <v>38</v>
      </c>
      <c r="P443" t="s">
        <v>53</v>
      </c>
      <c r="Q443" t="s">
        <v>38</v>
      </c>
      <c r="R443" t="s">
        <v>38</v>
      </c>
      <c r="S443" t="s">
        <v>42</v>
      </c>
      <c r="T443" t="s">
        <v>42</v>
      </c>
      <c r="U443" t="s">
        <v>575</v>
      </c>
      <c r="V443" t="s">
        <v>44</v>
      </c>
      <c r="W443" t="s">
        <v>575</v>
      </c>
      <c r="X443" t="s">
        <v>45</v>
      </c>
      <c r="Y443" t="s">
        <v>543</v>
      </c>
      <c r="Z443" t="s">
        <v>47</v>
      </c>
      <c r="AA443"/>
      <c r="AB443"/>
      <c r="AC443"/>
      <c r="AD443"/>
    </row>
    <row r="444" spans="1:30">
      <c r="A444">
        <v>2110060387</v>
      </c>
      <c r="B444" t="s">
        <v>30</v>
      </c>
      <c r="C444" t="s">
        <v>31</v>
      </c>
      <c r="D444" t="s">
        <v>32</v>
      </c>
      <c r="E444" t="s">
        <v>48</v>
      </c>
      <c r="F444" t="s">
        <v>48</v>
      </c>
      <c r="G444" t="s">
        <v>431</v>
      </c>
      <c r="H444" t="s">
        <v>35</v>
      </c>
      <c r="I444" t="s">
        <v>594</v>
      </c>
      <c r="J444" t="s">
        <v>595</v>
      </c>
      <c r="K444" t="str">
        <f>"202esoh19402"</f>
        <v>0</v>
      </c>
      <c r="L444">
        <v>247500</v>
      </c>
      <c r="M444"/>
      <c r="N444" t="s">
        <v>38</v>
      </c>
      <c r="O444" t="s">
        <v>38</v>
      </c>
      <c r="P444" t="s">
        <v>53</v>
      </c>
      <c r="Q444" t="s">
        <v>38</v>
      </c>
      <c r="R444" t="s">
        <v>38</v>
      </c>
      <c r="S444" t="s">
        <v>42</v>
      </c>
      <c r="T444" t="s">
        <v>42</v>
      </c>
      <c r="U444" t="s">
        <v>575</v>
      </c>
      <c r="V444" t="s">
        <v>395</v>
      </c>
      <c r="W444" t="s">
        <v>575</v>
      </c>
      <c r="X444" t="s">
        <v>45</v>
      </c>
      <c r="Y444" t="s">
        <v>481</v>
      </c>
      <c r="Z444" t="s">
        <v>47</v>
      </c>
      <c r="AA444"/>
      <c r="AB444"/>
      <c r="AC444"/>
      <c r="AD444" t="s">
        <v>456</v>
      </c>
    </row>
    <row r="445" spans="1:30">
      <c r="A445">
        <v>5110120001</v>
      </c>
      <c r="B445" t="s">
        <v>30</v>
      </c>
      <c r="C445" t="s">
        <v>230</v>
      </c>
      <c r="D445" t="s">
        <v>512</v>
      </c>
      <c r="E445" t="s">
        <v>48</v>
      </c>
      <c r="F445" t="s">
        <v>48</v>
      </c>
      <c r="G445" t="s">
        <v>85</v>
      </c>
      <c r="H445" t="s">
        <v>50</v>
      </c>
      <c r="I445" t="s">
        <v>596</v>
      </c>
      <c r="J445" t="s">
        <v>597</v>
      </c>
      <c r="K445" t="str">
        <f>"Rxl-4b"</f>
        <v>0</v>
      </c>
      <c r="L445">
        <v>30000</v>
      </c>
      <c r="M445"/>
      <c r="N445" t="s">
        <v>38</v>
      </c>
      <c r="O445" t="s">
        <v>38</v>
      </c>
      <c r="P445" t="s">
        <v>53</v>
      </c>
      <c r="Q445" t="s">
        <v>38</v>
      </c>
      <c r="R445" t="s">
        <v>38</v>
      </c>
      <c r="S445" t="s">
        <v>42</v>
      </c>
      <c r="T445" t="s">
        <v>42</v>
      </c>
      <c r="U445" t="s">
        <v>575</v>
      </c>
      <c r="V445" t="s">
        <v>44</v>
      </c>
      <c r="W445" t="s">
        <v>575</v>
      </c>
      <c r="X445" t="s">
        <v>45</v>
      </c>
      <c r="Y445" t="s">
        <v>514</v>
      </c>
      <c r="Z445" t="s">
        <v>47</v>
      </c>
      <c r="AA445"/>
      <c r="AB445"/>
      <c r="AC445"/>
      <c r="AD445"/>
    </row>
    <row r="446" spans="1:30">
      <c r="A446">
        <v>5110120002</v>
      </c>
      <c r="B446" t="s">
        <v>30</v>
      </c>
      <c r="C446" t="s">
        <v>230</v>
      </c>
      <c r="D446" t="s">
        <v>512</v>
      </c>
      <c r="E446" t="s">
        <v>48</v>
      </c>
      <c r="F446" t="s">
        <v>48</v>
      </c>
      <c r="G446" t="s">
        <v>85</v>
      </c>
      <c r="H446" t="s">
        <v>50</v>
      </c>
      <c r="I446" t="s">
        <v>596</v>
      </c>
      <c r="J446" t="s">
        <v>598</v>
      </c>
      <c r="K446" t="str">
        <f>"b-1903119"</f>
        <v>0</v>
      </c>
      <c r="L446">
        <v>30000</v>
      </c>
      <c r="M446"/>
      <c r="N446" t="s">
        <v>38</v>
      </c>
      <c r="O446" t="s">
        <v>38</v>
      </c>
      <c r="P446" t="s">
        <v>53</v>
      </c>
      <c r="Q446" t="s">
        <v>38</v>
      </c>
      <c r="R446" t="s">
        <v>38</v>
      </c>
      <c r="S446" t="s">
        <v>42</v>
      </c>
      <c r="T446" t="s">
        <v>42</v>
      </c>
      <c r="U446" t="s">
        <v>575</v>
      </c>
      <c r="V446" t="s">
        <v>44</v>
      </c>
      <c r="W446" t="s">
        <v>575</v>
      </c>
      <c r="X446" t="s">
        <v>45</v>
      </c>
      <c r="Y446" t="s">
        <v>514</v>
      </c>
      <c r="Z446" t="s">
        <v>47</v>
      </c>
      <c r="AA446"/>
      <c r="AB446"/>
      <c r="AC446"/>
      <c r="AD446"/>
    </row>
    <row r="447" spans="1:30">
      <c r="A447">
        <v>6110220004</v>
      </c>
      <c r="B447" t="s">
        <v>30</v>
      </c>
      <c r="C447" t="s">
        <v>429</v>
      </c>
      <c r="D447" t="s">
        <v>430</v>
      </c>
      <c r="E447" t="s">
        <v>48</v>
      </c>
      <c r="F447" t="s">
        <v>48</v>
      </c>
      <c r="G447" t="s">
        <v>85</v>
      </c>
      <c r="H447" t="s">
        <v>50</v>
      </c>
      <c r="I447" t="s">
        <v>354</v>
      </c>
      <c r="J447" t="s">
        <v>599</v>
      </c>
      <c r="K447" t="str">
        <f>"8859"</f>
        <v>0</v>
      </c>
      <c r="L447">
        <v>30000</v>
      </c>
      <c r="M447"/>
      <c r="N447" t="s">
        <v>38</v>
      </c>
      <c r="O447" t="s">
        <v>38</v>
      </c>
      <c r="P447" t="s">
        <v>53</v>
      </c>
      <c r="Q447" t="s">
        <v>38</v>
      </c>
      <c r="R447" t="s">
        <v>38</v>
      </c>
      <c r="S447" t="s">
        <v>42</v>
      </c>
      <c r="T447" t="s">
        <v>42</v>
      </c>
      <c r="U447" t="s">
        <v>575</v>
      </c>
      <c r="V447" t="s">
        <v>44</v>
      </c>
      <c r="W447" t="s">
        <v>575</v>
      </c>
      <c r="X447" t="s">
        <v>45</v>
      </c>
      <c r="Y447" t="s">
        <v>529</v>
      </c>
      <c r="Z447" t="s">
        <v>47</v>
      </c>
      <c r="AA447"/>
      <c r="AB447"/>
      <c r="AC447"/>
      <c r="AD447"/>
    </row>
    <row r="448" spans="1:30">
      <c r="A448">
        <v>5110150002</v>
      </c>
      <c r="B448" t="s">
        <v>30</v>
      </c>
      <c r="C448" t="s">
        <v>230</v>
      </c>
      <c r="D448" t="s">
        <v>600</v>
      </c>
      <c r="E448" t="s">
        <v>48</v>
      </c>
      <c r="F448" t="s">
        <v>48</v>
      </c>
      <c r="G448" t="s">
        <v>85</v>
      </c>
      <c r="H448" t="s">
        <v>50</v>
      </c>
      <c r="I448" t="s">
        <v>86</v>
      </c>
      <c r="J448" t="s">
        <v>601</v>
      </c>
      <c r="K448" t="str">
        <f>"1903125"</f>
        <v>0</v>
      </c>
      <c r="L448">
        <v>30000</v>
      </c>
      <c r="M448"/>
      <c r="N448" t="s">
        <v>38</v>
      </c>
      <c r="O448" t="s">
        <v>38</v>
      </c>
      <c r="P448" t="s">
        <v>53</v>
      </c>
      <c r="Q448" t="s">
        <v>38</v>
      </c>
      <c r="R448" t="s">
        <v>38</v>
      </c>
      <c r="S448" t="s">
        <v>42</v>
      </c>
      <c r="T448" t="s">
        <v>42</v>
      </c>
      <c r="U448" t="s">
        <v>575</v>
      </c>
      <c r="V448" t="s">
        <v>44</v>
      </c>
      <c r="W448" t="s">
        <v>575</v>
      </c>
      <c r="X448" t="s">
        <v>45</v>
      </c>
      <c r="Y448" t="s">
        <v>535</v>
      </c>
      <c r="Z448" t="s">
        <v>47</v>
      </c>
      <c r="AA448"/>
      <c r="AB448"/>
      <c r="AC448"/>
      <c r="AD448"/>
    </row>
    <row r="449" spans="1:30">
      <c r="A449">
        <v>5110170004</v>
      </c>
      <c r="B449" t="s">
        <v>30</v>
      </c>
      <c r="C449" t="s">
        <v>230</v>
      </c>
      <c r="D449" t="s">
        <v>537</v>
      </c>
      <c r="E449" t="s">
        <v>48</v>
      </c>
      <c r="F449" t="s">
        <v>90</v>
      </c>
      <c r="G449" t="s">
        <v>523</v>
      </c>
      <c r="H449" t="s">
        <v>50</v>
      </c>
      <c r="I449" t="s">
        <v>524</v>
      </c>
      <c r="J449" t="s">
        <v>525</v>
      </c>
      <c r="K449" t="str">
        <f>"na"</f>
        <v>0</v>
      </c>
      <c r="L449">
        <v>30000</v>
      </c>
      <c r="M449"/>
      <c r="N449" t="s">
        <v>38</v>
      </c>
      <c r="O449" t="s">
        <v>38</v>
      </c>
      <c r="P449" t="s">
        <v>53</v>
      </c>
      <c r="Q449" t="s">
        <v>38</v>
      </c>
      <c r="R449" t="s">
        <v>38</v>
      </c>
      <c r="S449" t="s">
        <v>42</v>
      </c>
      <c r="T449" t="s">
        <v>42</v>
      </c>
      <c r="U449" t="s">
        <v>575</v>
      </c>
      <c r="V449" t="s">
        <v>44</v>
      </c>
      <c r="W449" t="s">
        <v>575</v>
      </c>
      <c r="X449" t="s">
        <v>45</v>
      </c>
      <c r="Y449" t="s">
        <v>535</v>
      </c>
      <c r="Z449" t="s">
        <v>47</v>
      </c>
      <c r="AA449"/>
      <c r="AB449"/>
      <c r="AC449"/>
      <c r="AD449"/>
    </row>
    <row r="450" spans="1:30">
      <c r="A450">
        <v>5110160001</v>
      </c>
      <c r="B450" t="s">
        <v>30</v>
      </c>
      <c r="C450" t="s">
        <v>230</v>
      </c>
      <c r="D450" t="s">
        <v>539</v>
      </c>
      <c r="E450" t="s">
        <v>48</v>
      </c>
      <c r="F450" t="s">
        <v>90</v>
      </c>
      <c r="G450" t="s">
        <v>523</v>
      </c>
      <c r="H450" t="s">
        <v>50</v>
      </c>
      <c r="I450" t="s">
        <v>524</v>
      </c>
      <c r="J450" t="s">
        <v>525</v>
      </c>
      <c r="K450" t="str">
        <f>"na"</f>
        <v>0</v>
      </c>
      <c r="L450">
        <v>30000</v>
      </c>
      <c r="M450"/>
      <c r="N450" t="s">
        <v>38</v>
      </c>
      <c r="O450" t="s">
        <v>38</v>
      </c>
      <c r="P450" t="s">
        <v>53</v>
      </c>
      <c r="Q450" t="s">
        <v>38</v>
      </c>
      <c r="R450" t="s">
        <v>38</v>
      </c>
      <c r="S450" t="s">
        <v>42</v>
      </c>
      <c r="T450" t="s">
        <v>42</v>
      </c>
      <c r="U450" t="s">
        <v>575</v>
      </c>
      <c r="V450" t="s">
        <v>44</v>
      </c>
      <c r="W450" t="s">
        <v>575</v>
      </c>
      <c r="X450" t="s">
        <v>45</v>
      </c>
      <c r="Y450" t="s">
        <v>543</v>
      </c>
      <c r="Z450" t="s">
        <v>47</v>
      </c>
      <c r="AA450"/>
      <c r="AB450"/>
      <c r="AC450"/>
      <c r="AD450"/>
    </row>
    <row r="451" spans="1:30">
      <c r="A451">
        <v>6110230003</v>
      </c>
      <c r="B451" t="s">
        <v>30</v>
      </c>
      <c r="C451" t="s">
        <v>429</v>
      </c>
      <c r="D451" t="s">
        <v>593</v>
      </c>
      <c r="E451" t="s">
        <v>48</v>
      </c>
      <c r="F451" t="s">
        <v>48</v>
      </c>
      <c r="G451" t="s">
        <v>85</v>
      </c>
      <c r="H451" t="s">
        <v>50</v>
      </c>
      <c r="I451" t="s">
        <v>354</v>
      </c>
      <c r="J451" t="s">
        <v>602</v>
      </c>
      <c r="K451" t="str">
        <f>"b-11816"</f>
        <v>0</v>
      </c>
      <c r="L451">
        <v>30000</v>
      </c>
      <c r="M451"/>
      <c r="N451" t="s">
        <v>38</v>
      </c>
      <c r="O451" t="s">
        <v>38</v>
      </c>
      <c r="P451" t="s">
        <v>53</v>
      </c>
      <c r="Q451" t="s">
        <v>38</v>
      </c>
      <c r="R451" t="s">
        <v>38</v>
      </c>
      <c r="S451" t="s">
        <v>42</v>
      </c>
      <c r="T451" t="s">
        <v>42</v>
      </c>
      <c r="U451" t="s">
        <v>575</v>
      </c>
      <c r="V451" t="s">
        <v>44</v>
      </c>
      <c r="W451" t="s">
        <v>575</v>
      </c>
      <c r="X451" t="s">
        <v>45</v>
      </c>
      <c r="Y451" t="s">
        <v>543</v>
      </c>
      <c r="Z451" t="s">
        <v>47</v>
      </c>
      <c r="AA451"/>
      <c r="AB451"/>
      <c r="AC451"/>
      <c r="AD451"/>
    </row>
    <row r="452" spans="1:30">
      <c r="A452">
        <v>5110170001</v>
      </c>
      <c r="B452" t="s">
        <v>30</v>
      </c>
      <c r="C452" t="s">
        <v>230</v>
      </c>
      <c r="D452" t="s">
        <v>537</v>
      </c>
      <c r="E452" t="s">
        <v>48</v>
      </c>
      <c r="F452" t="s">
        <v>48</v>
      </c>
      <c r="G452" t="s">
        <v>203</v>
      </c>
      <c r="H452" t="s">
        <v>50</v>
      </c>
      <c r="I452" t="s">
        <v>375</v>
      </c>
      <c r="J452" t="s">
        <v>59</v>
      </c>
      <c r="K452" t="str">
        <f>"na"</f>
        <v>0</v>
      </c>
      <c r="L452">
        <v>20000</v>
      </c>
      <c r="M452"/>
      <c r="N452" t="s">
        <v>38</v>
      </c>
      <c r="O452" t="s">
        <v>38</v>
      </c>
      <c r="P452" t="s">
        <v>53</v>
      </c>
      <c r="Q452" t="s">
        <v>38</v>
      </c>
      <c r="R452" t="s">
        <v>38</v>
      </c>
      <c r="S452" t="s">
        <v>42</v>
      </c>
      <c r="T452" t="s">
        <v>42</v>
      </c>
      <c r="U452" t="s">
        <v>575</v>
      </c>
      <c r="V452" t="s">
        <v>44</v>
      </c>
      <c r="W452" t="s">
        <v>575</v>
      </c>
      <c r="X452" t="s">
        <v>45</v>
      </c>
      <c r="Y452" t="s">
        <v>535</v>
      </c>
      <c r="Z452" t="s">
        <v>47</v>
      </c>
      <c r="AA452"/>
      <c r="AB452"/>
      <c r="AC452"/>
      <c r="AD452"/>
    </row>
    <row r="453" spans="1:30">
      <c r="A453">
        <v>5110160002</v>
      </c>
      <c r="B453" t="s">
        <v>30</v>
      </c>
      <c r="C453" t="s">
        <v>230</v>
      </c>
      <c r="D453" t="s">
        <v>539</v>
      </c>
      <c r="E453" t="s">
        <v>48</v>
      </c>
      <c r="F453" t="s">
        <v>48</v>
      </c>
      <c r="G453" t="s">
        <v>203</v>
      </c>
      <c r="H453" t="s">
        <v>50</v>
      </c>
      <c r="I453" t="s">
        <v>375</v>
      </c>
      <c r="J453" t="s">
        <v>59</v>
      </c>
      <c r="K453" t="str">
        <f>"na"</f>
        <v>0</v>
      </c>
      <c r="L453">
        <v>20000</v>
      </c>
      <c r="M453"/>
      <c r="N453" t="s">
        <v>38</v>
      </c>
      <c r="O453" t="s">
        <v>38</v>
      </c>
      <c r="P453" t="s">
        <v>53</v>
      </c>
      <c r="Q453" t="s">
        <v>38</v>
      </c>
      <c r="R453" t="s">
        <v>38</v>
      </c>
      <c r="S453" t="s">
        <v>42</v>
      </c>
      <c r="T453" t="s">
        <v>42</v>
      </c>
      <c r="U453" t="s">
        <v>575</v>
      </c>
      <c r="V453" t="s">
        <v>44</v>
      </c>
      <c r="W453" t="s">
        <v>575</v>
      </c>
      <c r="X453" t="s">
        <v>45</v>
      </c>
      <c r="Y453" t="s">
        <v>543</v>
      </c>
      <c r="Z453" t="s">
        <v>47</v>
      </c>
      <c r="AA453"/>
      <c r="AB453"/>
      <c r="AC453"/>
      <c r="AD453"/>
    </row>
    <row r="454" spans="1:30">
      <c r="A454">
        <v>6110230002</v>
      </c>
      <c r="B454" t="s">
        <v>30</v>
      </c>
      <c r="C454" t="s">
        <v>429</v>
      </c>
      <c r="D454" t="s">
        <v>593</v>
      </c>
      <c r="E454" t="s">
        <v>48</v>
      </c>
      <c r="F454" t="s">
        <v>48</v>
      </c>
      <c r="G454" t="s">
        <v>203</v>
      </c>
      <c r="H454" t="s">
        <v>50</v>
      </c>
      <c r="I454" t="s">
        <v>100</v>
      </c>
      <c r="J454" t="s">
        <v>59</v>
      </c>
      <c r="K454" t="str">
        <f>"na"</f>
        <v>0</v>
      </c>
      <c r="L454">
        <v>20000</v>
      </c>
      <c r="M454"/>
      <c r="N454" t="s">
        <v>38</v>
      </c>
      <c r="O454" t="s">
        <v>38</v>
      </c>
      <c r="P454" t="s">
        <v>53</v>
      </c>
      <c r="Q454" t="s">
        <v>38</v>
      </c>
      <c r="R454" t="s">
        <v>38</v>
      </c>
      <c r="S454" t="s">
        <v>42</v>
      </c>
      <c r="T454" t="s">
        <v>42</v>
      </c>
      <c r="U454" t="s">
        <v>575</v>
      </c>
      <c r="V454" t="s">
        <v>44</v>
      </c>
      <c r="W454" t="s">
        <v>575</v>
      </c>
      <c r="X454" t="s">
        <v>45</v>
      </c>
      <c r="Y454" t="s">
        <v>543</v>
      </c>
      <c r="Z454" t="s">
        <v>47</v>
      </c>
      <c r="AA454"/>
      <c r="AB454"/>
      <c r="AC454"/>
      <c r="AD454"/>
    </row>
    <row r="455" spans="1:30">
      <c r="A455">
        <v>5110150001</v>
      </c>
      <c r="B455" t="s">
        <v>30</v>
      </c>
      <c r="C455" t="s">
        <v>230</v>
      </c>
      <c r="D455" t="s">
        <v>600</v>
      </c>
      <c r="E455" t="s">
        <v>48</v>
      </c>
      <c r="F455" t="s">
        <v>48</v>
      </c>
      <c r="G455" t="s">
        <v>431</v>
      </c>
      <c r="H455" t="s">
        <v>35</v>
      </c>
      <c r="I455" t="s">
        <v>432</v>
      </c>
      <c r="J455" t="s">
        <v>603</v>
      </c>
      <c r="K455" t="str">
        <f>"00551"</f>
        <v>0</v>
      </c>
      <c r="L455">
        <v>327000</v>
      </c>
      <c r="M455"/>
      <c r="N455" t="s">
        <v>38</v>
      </c>
      <c r="O455" t="s">
        <v>38</v>
      </c>
      <c r="P455" t="s">
        <v>39</v>
      </c>
      <c r="Q455" t="s">
        <v>434</v>
      </c>
      <c r="R455" t="s">
        <v>435</v>
      </c>
      <c r="S455" t="s">
        <v>42</v>
      </c>
      <c r="T455" t="s">
        <v>42</v>
      </c>
      <c r="U455" t="s">
        <v>575</v>
      </c>
      <c r="V455" t="s">
        <v>44</v>
      </c>
      <c r="W455" t="s">
        <v>575</v>
      </c>
      <c r="X455" t="s">
        <v>45</v>
      </c>
      <c r="Y455" t="s">
        <v>535</v>
      </c>
      <c r="Z455" t="s">
        <v>47</v>
      </c>
      <c r="AA455"/>
      <c r="AB455"/>
      <c r="AC455"/>
      <c r="AD455"/>
    </row>
    <row r="456" spans="1:30">
      <c r="A456">
        <v>5110200004</v>
      </c>
      <c r="B456" t="s">
        <v>30</v>
      </c>
      <c r="C456" t="s">
        <v>230</v>
      </c>
      <c r="D456" t="s">
        <v>533</v>
      </c>
      <c r="E456" t="s">
        <v>48</v>
      </c>
      <c r="F456" t="s">
        <v>48</v>
      </c>
      <c r="G456" t="s">
        <v>431</v>
      </c>
      <c r="H456" t="s">
        <v>35</v>
      </c>
      <c r="I456" t="s">
        <v>432</v>
      </c>
      <c r="J456" t="s">
        <v>603</v>
      </c>
      <c r="K456" t="str">
        <f>"00612"</f>
        <v>0</v>
      </c>
      <c r="L456">
        <v>327000</v>
      </c>
      <c r="M456"/>
      <c r="N456" t="s">
        <v>38</v>
      </c>
      <c r="O456" t="s">
        <v>38</v>
      </c>
      <c r="P456" t="s">
        <v>39</v>
      </c>
      <c r="Q456" t="s">
        <v>434</v>
      </c>
      <c r="R456" t="s">
        <v>435</v>
      </c>
      <c r="S456" t="s">
        <v>42</v>
      </c>
      <c r="T456" t="s">
        <v>42</v>
      </c>
      <c r="U456" t="s">
        <v>575</v>
      </c>
      <c r="V456" t="s">
        <v>44</v>
      </c>
      <c r="W456" t="s">
        <v>575</v>
      </c>
      <c r="X456" t="s">
        <v>45</v>
      </c>
      <c r="Y456" t="s">
        <v>535</v>
      </c>
      <c r="Z456" t="s">
        <v>47</v>
      </c>
      <c r="AA456"/>
      <c r="AB456"/>
      <c r="AC456"/>
      <c r="AD456"/>
    </row>
    <row r="457" spans="1:30">
      <c r="A457">
        <v>5110170002</v>
      </c>
      <c r="B457" t="s">
        <v>30</v>
      </c>
      <c r="C457" t="s">
        <v>230</v>
      </c>
      <c r="D457" t="s">
        <v>537</v>
      </c>
      <c r="E457" t="s">
        <v>48</v>
      </c>
      <c r="F457" t="s">
        <v>48</v>
      </c>
      <c r="G457" t="s">
        <v>431</v>
      </c>
      <c r="H457" t="s">
        <v>35</v>
      </c>
      <c r="I457" t="s">
        <v>432</v>
      </c>
      <c r="J457" t="s">
        <v>603</v>
      </c>
      <c r="K457" t="str">
        <f>"00524"</f>
        <v>0</v>
      </c>
      <c r="L457">
        <v>327000</v>
      </c>
      <c r="M457"/>
      <c r="N457" t="s">
        <v>38</v>
      </c>
      <c r="O457" t="s">
        <v>38</v>
      </c>
      <c r="P457" t="s">
        <v>39</v>
      </c>
      <c r="Q457" t="s">
        <v>434</v>
      </c>
      <c r="R457" t="s">
        <v>435</v>
      </c>
      <c r="S457" t="s">
        <v>42</v>
      </c>
      <c r="T457" t="s">
        <v>42</v>
      </c>
      <c r="U457" t="s">
        <v>575</v>
      </c>
      <c r="V457" t="s">
        <v>44</v>
      </c>
      <c r="W457" t="s">
        <v>575</v>
      </c>
      <c r="X457" t="s">
        <v>45</v>
      </c>
      <c r="Y457" t="s">
        <v>535</v>
      </c>
      <c r="Z457" t="s">
        <v>47</v>
      </c>
      <c r="AA457"/>
      <c r="AB457"/>
      <c r="AC457"/>
      <c r="AD457"/>
    </row>
    <row r="458" spans="1:30">
      <c r="A458">
        <v>2110060257</v>
      </c>
      <c r="B458" t="s">
        <v>30</v>
      </c>
      <c r="C458" t="s">
        <v>31</v>
      </c>
      <c r="D458" t="s">
        <v>32</v>
      </c>
      <c r="E458" t="s">
        <v>48</v>
      </c>
      <c r="F458" t="s">
        <v>90</v>
      </c>
      <c r="G458" t="s">
        <v>85</v>
      </c>
      <c r="H458" t="s">
        <v>50</v>
      </c>
      <c r="I458" t="s">
        <v>375</v>
      </c>
      <c r="J458" t="s">
        <v>315</v>
      </c>
      <c r="K458" t="str">
        <f>"na"</f>
        <v>0</v>
      </c>
      <c r="L458">
        <v>30000</v>
      </c>
      <c r="M458"/>
      <c r="N458" t="s">
        <v>38</v>
      </c>
      <c r="O458" t="s">
        <v>38</v>
      </c>
      <c r="P458" t="s">
        <v>53</v>
      </c>
      <c r="Q458" t="s">
        <v>38</v>
      </c>
      <c r="R458" t="s">
        <v>38</v>
      </c>
      <c r="S458" t="s">
        <v>42</v>
      </c>
      <c r="T458" t="s">
        <v>42</v>
      </c>
      <c r="U458" t="s">
        <v>604</v>
      </c>
      <c r="V458" t="s">
        <v>44</v>
      </c>
      <c r="W458" t="s">
        <v>604</v>
      </c>
      <c r="X458" t="s">
        <v>45</v>
      </c>
      <c r="Y458" t="s">
        <v>605</v>
      </c>
      <c r="Z458" t="s">
        <v>47</v>
      </c>
      <c r="AA458"/>
      <c r="AB458"/>
      <c r="AC458"/>
      <c r="AD458"/>
    </row>
    <row r="459" spans="1:30">
      <c r="A459">
        <v>3110100165</v>
      </c>
      <c r="B459" t="s">
        <v>30</v>
      </c>
      <c r="C459" t="s">
        <v>61</v>
      </c>
      <c r="D459" t="s">
        <v>71</v>
      </c>
      <c r="E459" t="s">
        <v>552</v>
      </c>
      <c r="F459" t="s">
        <v>64</v>
      </c>
      <c r="G459" t="s">
        <v>553</v>
      </c>
      <c r="H459" t="s">
        <v>50</v>
      </c>
      <c r="I459" t="s">
        <v>554</v>
      </c>
      <c r="J459" t="s">
        <v>315</v>
      </c>
      <c r="K459" t="str">
        <f>"NA"</f>
        <v>0</v>
      </c>
      <c r="L459">
        <v>333000</v>
      </c>
      <c r="M459"/>
      <c r="N459" t="s">
        <v>38</v>
      </c>
      <c r="O459" t="s">
        <v>38</v>
      </c>
      <c r="P459" t="s">
        <v>53</v>
      </c>
      <c r="Q459" t="s">
        <v>38</v>
      </c>
      <c r="R459" t="s">
        <v>38</v>
      </c>
      <c r="S459" t="s">
        <v>42</v>
      </c>
      <c r="T459" t="s">
        <v>42</v>
      </c>
      <c r="U459" t="s">
        <v>606</v>
      </c>
      <c r="V459" t="s">
        <v>77</v>
      </c>
      <c r="W459" t="s">
        <v>606</v>
      </c>
      <c r="X459" t="s">
        <v>45</v>
      </c>
      <c r="Y459" t="s">
        <v>607</v>
      </c>
      <c r="Z459" t="s">
        <v>47</v>
      </c>
      <c r="AA459"/>
      <c r="AB459"/>
      <c r="AC459"/>
      <c r="AD459"/>
    </row>
    <row r="460" spans="1:30">
      <c r="A460">
        <v>2110060006</v>
      </c>
      <c r="B460" t="s">
        <v>30</v>
      </c>
      <c r="C460" t="s">
        <v>31</v>
      </c>
      <c r="D460" t="s">
        <v>32</v>
      </c>
      <c r="E460" t="s">
        <v>33</v>
      </c>
      <c r="F460" t="s">
        <v>33</v>
      </c>
      <c r="G460" t="s">
        <v>608</v>
      </c>
      <c r="H460" t="s">
        <v>50</v>
      </c>
      <c r="I460" t="s">
        <v>609</v>
      </c>
      <c r="J460" t="s">
        <v>610</v>
      </c>
      <c r="K460" t="str">
        <f>"Sm-20-34-0369"</f>
        <v>0</v>
      </c>
      <c r="L460">
        <v>168000</v>
      </c>
      <c r="M460"/>
      <c r="N460" t="s">
        <v>38</v>
      </c>
      <c r="O460" t="s">
        <v>38</v>
      </c>
      <c r="P460" t="s">
        <v>53</v>
      </c>
      <c r="Q460" t="s">
        <v>38</v>
      </c>
      <c r="R460" t="s">
        <v>38</v>
      </c>
      <c r="S460" t="s">
        <v>42</v>
      </c>
      <c r="T460" t="s">
        <v>42</v>
      </c>
      <c r="U460" t="s">
        <v>611</v>
      </c>
      <c r="V460" t="s">
        <v>44</v>
      </c>
      <c r="W460" t="s">
        <v>611</v>
      </c>
      <c r="X460" t="s">
        <v>45</v>
      </c>
      <c r="Y460" t="s">
        <v>611</v>
      </c>
      <c r="Z460" t="s">
        <v>47</v>
      </c>
      <c r="AA460"/>
      <c r="AB460"/>
      <c r="AC460"/>
      <c r="AD460"/>
    </row>
    <row r="461" spans="1:30">
      <c r="A461">
        <v>2110060249</v>
      </c>
      <c r="B461" t="s">
        <v>30</v>
      </c>
      <c r="C461" t="s">
        <v>31</v>
      </c>
      <c r="D461" t="s">
        <v>32</v>
      </c>
      <c r="E461" t="s">
        <v>612</v>
      </c>
      <c r="F461" t="s">
        <v>33</v>
      </c>
      <c r="G461" t="s">
        <v>613</v>
      </c>
      <c r="H461" t="s">
        <v>50</v>
      </c>
      <c r="I461" t="s">
        <v>614</v>
      </c>
      <c r="J461" t="s">
        <v>59</v>
      </c>
      <c r="K461" t="str">
        <f>"na"</f>
        <v>0</v>
      </c>
      <c r="L461">
        <v>231000</v>
      </c>
      <c r="M461"/>
      <c r="N461" t="s">
        <v>38</v>
      </c>
      <c r="O461" t="s">
        <v>38</v>
      </c>
      <c r="P461" t="s">
        <v>53</v>
      </c>
      <c r="Q461" t="s">
        <v>38</v>
      </c>
      <c r="R461" t="s">
        <v>38</v>
      </c>
      <c r="S461" t="s">
        <v>42</v>
      </c>
      <c r="T461" t="s">
        <v>42</v>
      </c>
      <c r="U461" t="s">
        <v>615</v>
      </c>
      <c r="V461" t="s">
        <v>44</v>
      </c>
      <c r="W461" t="s">
        <v>615</v>
      </c>
      <c r="X461" t="s">
        <v>45</v>
      </c>
      <c r="Y461" t="s">
        <v>616</v>
      </c>
      <c r="Z461" t="s">
        <v>47</v>
      </c>
      <c r="AA461"/>
      <c r="AB461"/>
      <c r="AC461"/>
      <c r="AD461"/>
    </row>
    <row r="462" spans="1:30">
      <c r="A462">
        <v>2110060224</v>
      </c>
      <c r="B462" t="s">
        <v>30</v>
      </c>
      <c r="C462" t="s">
        <v>31</v>
      </c>
      <c r="D462" t="s">
        <v>32</v>
      </c>
      <c r="E462" t="s">
        <v>135</v>
      </c>
      <c r="F462" t="s">
        <v>48</v>
      </c>
      <c r="G462" t="s">
        <v>203</v>
      </c>
      <c r="H462" t="s">
        <v>50</v>
      </c>
      <c r="I462" t="s">
        <v>173</v>
      </c>
      <c r="J462" t="s">
        <v>617</v>
      </c>
      <c r="K462" t="str">
        <f>"ZHHN-28275"</f>
        <v>0</v>
      </c>
      <c r="L462">
        <v>42000</v>
      </c>
      <c r="M462"/>
      <c r="N462" t="s">
        <v>38</v>
      </c>
      <c r="O462" t="s">
        <v>38</v>
      </c>
      <c r="P462" t="s">
        <v>53</v>
      </c>
      <c r="Q462" t="s">
        <v>38</v>
      </c>
      <c r="R462" t="s">
        <v>38</v>
      </c>
      <c r="S462" t="s">
        <v>42</v>
      </c>
      <c r="T462" t="s">
        <v>42</v>
      </c>
      <c r="U462" t="s">
        <v>615</v>
      </c>
      <c r="V462" t="s">
        <v>44</v>
      </c>
      <c r="W462" t="s">
        <v>615</v>
      </c>
      <c r="X462" t="s">
        <v>45</v>
      </c>
      <c r="Y462" t="s">
        <v>616</v>
      </c>
      <c r="Z462" t="s">
        <v>47</v>
      </c>
      <c r="AA462"/>
      <c r="AB462"/>
      <c r="AC462"/>
      <c r="AD462"/>
    </row>
    <row r="463" spans="1:30">
      <c r="A463">
        <v>2110060250</v>
      </c>
      <c r="B463" t="s">
        <v>30</v>
      </c>
      <c r="C463" t="s">
        <v>31</v>
      </c>
      <c r="D463" t="s">
        <v>32</v>
      </c>
      <c r="E463" t="s">
        <v>612</v>
      </c>
      <c r="F463" t="s">
        <v>147</v>
      </c>
      <c r="G463" t="s">
        <v>148</v>
      </c>
      <c r="H463" t="s">
        <v>35</v>
      </c>
      <c r="I463" t="s">
        <v>618</v>
      </c>
      <c r="J463" t="s">
        <v>619</v>
      </c>
      <c r="K463" t="str">
        <f>"10700309"</f>
        <v>0</v>
      </c>
      <c r="L463">
        <v>22000</v>
      </c>
      <c r="M463"/>
      <c r="N463" t="s">
        <v>38</v>
      </c>
      <c r="O463" t="s">
        <v>38</v>
      </c>
      <c r="P463" t="s">
        <v>53</v>
      </c>
      <c r="Q463" t="s">
        <v>38</v>
      </c>
      <c r="R463" t="s">
        <v>38</v>
      </c>
      <c r="S463" t="s">
        <v>42</v>
      </c>
      <c r="T463" t="s">
        <v>42</v>
      </c>
      <c r="U463" t="s">
        <v>616</v>
      </c>
      <c r="V463" t="s">
        <v>44</v>
      </c>
      <c r="W463" t="s">
        <v>616</v>
      </c>
      <c r="X463" t="s">
        <v>45</v>
      </c>
      <c r="Y463" t="s">
        <v>616</v>
      </c>
      <c r="Z463" t="s">
        <v>47</v>
      </c>
      <c r="AA463"/>
      <c r="AB463"/>
      <c r="AC463"/>
      <c r="AD463"/>
    </row>
    <row r="464" spans="1:30">
      <c r="A464">
        <v>2110060248</v>
      </c>
      <c r="B464" t="s">
        <v>30</v>
      </c>
      <c r="C464" t="s">
        <v>31</v>
      </c>
      <c r="D464" t="s">
        <v>32</v>
      </c>
      <c r="E464" t="s">
        <v>612</v>
      </c>
      <c r="F464" t="s">
        <v>48</v>
      </c>
      <c r="G464" t="s">
        <v>620</v>
      </c>
      <c r="H464" t="s">
        <v>50</v>
      </c>
      <c r="I464" t="s">
        <v>621</v>
      </c>
      <c r="J464" t="s">
        <v>622</v>
      </c>
      <c r="K464" t="str">
        <f>"N080529"</f>
        <v>0</v>
      </c>
      <c r="L464">
        <v>100000</v>
      </c>
      <c r="M464"/>
      <c r="N464" t="s">
        <v>38</v>
      </c>
      <c r="O464" t="s">
        <v>38</v>
      </c>
      <c r="P464" t="s">
        <v>53</v>
      </c>
      <c r="Q464" t="s">
        <v>38</v>
      </c>
      <c r="R464" t="s">
        <v>38</v>
      </c>
      <c r="S464" t="s">
        <v>42</v>
      </c>
      <c r="T464" t="s">
        <v>42</v>
      </c>
      <c r="U464" t="s">
        <v>616</v>
      </c>
      <c r="V464" t="s">
        <v>44</v>
      </c>
      <c r="W464" t="s">
        <v>616</v>
      </c>
      <c r="X464" t="s">
        <v>45</v>
      </c>
      <c r="Y464" t="s">
        <v>616</v>
      </c>
      <c r="Z464" t="s">
        <v>47</v>
      </c>
      <c r="AA464"/>
      <c r="AB464"/>
      <c r="AC464"/>
      <c r="AD464"/>
    </row>
    <row r="465" spans="1:30">
      <c r="A465">
        <v>2110060247</v>
      </c>
      <c r="B465" t="s">
        <v>30</v>
      </c>
      <c r="C465" t="s">
        <v>31</v>
      </c>
      <c r="D465" t="s">
        <v>32</v>
      </c>
      <c r="E465" t="s">
        <v>612</v>
      </c>
      <c r="F465" t="s">
        <v>33</v>
      </c>
      <c r="G465" t="s">
        <v>623</v>
      </c>
      <c r="H465" t="s">
        <v>35</v>
      </c>
      <c r="I465" t="s">
        <v>461</v>
      </c>
      <c r="J465" t="s">
        <v>624</v>
      </c>
      <c r="K465" t="str">
        <f>"8f029"</f>
        <v>0</v>
      </c>
      <c r="L465">
        <v>225000</v>
      </c>
      <c r="M465"/>
      <c r="N465" t="s">
        <v>38</v>
      </c>
      <c r="O465" t="s">
        <v>38</v>
      </c>
      <c r="P465" t="s">
        <v>53</v>
      </c>
      <c r="Q465" t="s">
        <v>38</v>
      </c>
      <c r="R465" t="s">
        <v>38</v>
      </c>
      <c r="S465" t="s">
        <v>266</v>
      </c>
      <c r="T465" t="s">
        <v>266</v>
      </c>
      <c r="U465" t="s">
        <v>616</v>
      </c>
      <c r="V465" t="s">
        <v>44</v>
      </c>
      <c r="W465" t="s">
        <v>616</v>
      </c>
      <c r="X465" t="s">
        <v>45</v>
      </c>
      <c r="Y465" t="s">
        <v>616</v>
      </c>
      <c r="Z465" t="s">
        <v>70</v>
      </c>
      <c r="AA465"/>
      <c r="AB465"/>
      <c r="AC465"/>
      <c r="AD465"/>
    </row>
    <row r="466" spans="1:30">
      <c r="A466">
        <v>3110110123</v>
      </c>
      <c r="B466" t="s">
        <v>30</v>
      </c>
      <c r="C466" t="s">
        <v>61</v>
      </c>
      <c r="D466" t="s">
        <v>62</v>
      </c>
      <c r="E466" t="s">
        <v>79</v>
      </c>
      <c r="F466" t="s">
        <v>94</v>
      </c>
      <c r="G466" t="s">
        <v>95</v>
      </c>
      <c r="H466" t="s">
        <v>35</v>
      </c>
      <c r="I466" t="s">
        <v>82</v>
      </c>
      <c r="J466" t="s">
        <v>625</v>
      </c>
      <c r="K466" t="str">
        <f>"6815"</f>
        <v>0</v>
      </c>
      <c r="L466">
        <v>69636</v>
      </c>
      <c r="M466"/>
      <c r="N466" t="s">
        <v>38</v>
      </c>
      <c r="O466" t="s">
        <v>38</v>
      </c>
      <c r="P466" t="s">
        <v>53</v>
      </c>
      <c r="Q466" t="s">
        <v>38</v>
      </c>
      <c r="R466" t="s">
        <v>38</v>
      </c>
      <c r="S466" t="s">
        <v>42</v>
      </c>
      <c r="T466" t="s">
        <v>42</v>
      </c>
      <c r="U466" t="s">
        <v>626</v>
      </c>
      <c r="V466" t="s">
        <v>44</v>
      </c>
      <c r="W466" t="s">
        <v>626</v>
      </c>
      <c r="X466" t="s">
        <v>45</v>
      </c>
      <c r="Y466" t="s">
        <v>627</v>
      </c>
      <c r="Z466" t="s">
        <v>47</v>
      </c>
      <c r="AA466"/>
      <c r="AB466"/>
      <c r="AC466"/>
      <c r="AD466"/>
    </row>
    <row r="467" spans="1:30">
      <c r="A467">
        <v>2110060191</v>
      </c>
      <c r="B467" t="s">
        <v>30</v>
      </c>
      <c r="C467" t="s">
        <v>31</v>
      </c>
      <c r="D467" t="s">
        <v>32</v>
      </c>
      <c r="E467" t="s">
        <v>565</v>
      </c>
      <c r="F467" t="s">
        <v>90</v>
      </c>
      <c r="G467" t="s">
        <v>628</v>
      </c>
      <c r="H467" t="s">
        <v>35</v>
      </c>
      <c r="I467" t="s">
        <v>629</v>
      </c>
      <c r="J467" t="s">
        <v>630</v>
      </c>
      <c r="K467" t="str">
        <f>"142,263"</f>
        <v>0</v>
      </c>
      <c r="L467">
        <v>719816</v>
      </c>
      <c r="M467"/>
      <c r="N467" t="s">
        <v>38</v>
      </c>
      <c r="O467" t="s">
        <v>38</v>
      </c>
      <c r="P467" t="s">
        <v>53</v>
      </c>
      <c r="Q467" t="s">
        <v>38</v>
      </c>
      <c r="R467" t="s">
        <v>38</v>
      </c>
      <c r="S467" t="s">
        <v>42</v>
      </c>
      <c r="T467" t="s">
        <v>42</v>
      </c>
      <c r="U467" t="s">
        <v>631</v>
      </c>
      <c r="V467" t="s">
        <v>44</v>
      </c>
      <c r="W467" t="s">
        <v>631</v>
      </c>
      <c r="X467" t="s">
        <v>45</v>
      </c>
      <c r="Y467" t="s">
        <v>632</v>
      </c>
      <c r="Z467" t="s">
        <v>47</v>
      </c>
      <c r="AA467"/>
      <c r="AB467"/>
      <c r="AC467"/>
      <c r="AD467"/>
    </row>
    <row r="468" spans="1:30">
      <c r="A468">
        <v>2110060071</v>
      </c>
      <c r="B468" t="s">
        <v>30</v>
      </c>
      <c r="C468" t="s">
        <v>31</v>
      </c>
      <c r="D468" t="s">
        <v>32</v>
      </c>
      <c r="E468" t="s">
        <v>118</v>
      </c>
      <c r="F468" t="s">
        <v>118</v>
      </c>
      <c r="G468" t="s">
        <v>633</v>
      </c>
      <c r="H468" t="s">
        <v>35</v>
      </c>
      <c r="I468" t="s">
        <v>634</v>
      </c>
      <c r="J468" t="s">
        <v>635</v>
      </c>
      <c r="K468" t="str">
        <f>"9008021"</f>
        <v>0</v>
      </c>
      <c r="L468">
        <v>2945000</v>
      </c>
      <c r="M468"/>
      <c r="N468" t="s">
        <v>38</v>
      </c>
      <c r="O468" t="s">
        <v>38</v>
      </c>
      <c r="P468" t="s">
        <v>53</v>
      </c>
      <c r="Q468" t="s">
        <v>38</v>
      </c>
      <c r="R468" t="s">
        <v>38</v>
      </c>
      <c r="S468" t="s">
        <v>42</v>
      </c>
      <c r="T468" t="s">
        <v>42</v>
      </c>
      <c r="U468" t="s">
        <v>631</v>
      </c>
      <c r="V468" t="s">
        <v>636</v>
      </c>
      <c r="W468" t="s">
        <v>631</v>
      </c>
      <c r="X468" t="s">
        <v>45</v>
      </c>
      <c r="Y468" t="s">
        <v>637</v>
      </c>
      <c r="Z468" t="s">
        <v>47</v>
      </c>
      <c r="AA468"/>
      <c r="AB468"/>
      <c r="AC468"/>
      <c r="AD468" t="s">
        <v>638</v>
      </c>
    </row>
    <row r="469" spans="1:30">
      <c r="A469">
        <v>2110060078</v>
      </c>
      <c r="B469" t="s">
        <v>30</v>
      </c>
      <c r="C469" t="s">
        <v>31</v>
      </c>
      <c r="D469" t="s">
        <v>32</v>
      </c>
      <c r="E469" t="s">
        <v>118</v>
      </c>
      <c r="F469" t="s">
        <v>48</v>
      </c>
      <c r="G469" t="s">
        <v>639</v>
      </c>
      <c r="H469" t="s">
        <v>50</v>
      </c>
      <c r="I469" t="s">
        <v>173</v>
      </c>
      <c r="J469" t="s">
        <v>640</v>
      </c>
      <c r="K469" t="str">
        <f>"ZGJI24825"</f>
        <v>0</v>
      </c>
      <c r="L469">
        <v>180000</v>
      </c>
      <c r="M469"/>
      <c r="N469" t="s">
        <v>38</v>
      </c>
      <c r="O469" t="s">
        <v>38</v>
      </c>
      <c r="P469" t="s">
        <v>53</v>
      </c>
      <c r="Q469" t="s">
        <v>38</v>
      </c>
      <c r="R469" t="s">
        <v>38</v>
      </c>
      <c r="S469" t="s">
        <v>42</v>
      </c>
      <c r="T469" t="s">
        <v>42</v>
      </c>
      <c r="U469" t="s">
        <v>631</v>
      </c>
      <c r="V469" t="s">
        <v>636</v>
      </c>
      <c r="W469" t="s">
        <v>631</v>
      </c>
      <c r="X469" t="s">
        <v>45</v>
      </c>
      <c r="Y469" t="s">
        <v>637</v>
      </c>
      <c r="Z469" t="s">
        <v>47</v>
      </c>
      <c r="AA469"/>
      <c r="AB469"/>
      <c r="AC469"/>
      <c r="AD469" t="s">
        <v>638</v>
      </c>
    </row>
    <row r="470" spans="1:30">
      <c r="A470">
        <v>2110060079</v>
      </c>
      <c r="B470" t="s">
        <v>30</v>
      </c>
      <c r="C470" t="s">
        <v>31</v>
      </c>
      <c r="D470" t="s">
        <v>32</v>
      </c>
      <c r="E470" t="s">
        <v>118</v>
      </c>
      <c r="F470" t="s">
        <v>48</v>
      </c>
      <c r="G470" t="s">
        <v>641</v>
      </c>
      <c r="H470" t="s">
        <v>50</v>
      </c>
      <c r="I470" t="s">
        <v>173</v>
      </c>
      <c r="J470" t="s">
        <v>642</v>
      </c>
      <c r="K470" t="str">
        <f>"ZDHS20966"</f>
        <v>0</v>
      </c>
      <c r="L470">
        <v>147807</v>
      </c>
      <c r="M470"/>
      <c r="N470" t="s">
        <v>38</v>
      </c>
      <c r="O470" t="s">
        <v>38</v>
      </c>
      <c r="P470" t="s">
        <v>53</v>
      </c>
      <c r="Q470" t="s">
        <v>38</v>
      </c>
      <c r="R470" t="s">
        <v>38</v>
      </c>
      <c r="S470" t="s">
        <v>42</v>
      </c>
      <c r="T470" t="s">
        <v>42</v>
      </c>
      <c r="U470" t="s">
        <v>631</v>
      </c>
      <c r="V470" t="s">
        <v>636</v>
      </c>
      <c r="W470" t="s">
        <v>631</v>
      </c>
      <c r="X470" t="s">
        <v>45</v>
      </c>
      <c r="Y470" t="s">
        <v>637</v>
      </c>
      <c r="Z470" t="s">
        <v>47</v>
      </c>
      <c r="AA470"/>
      <c r="AB470"/>
      <c r="AC470"/>
      <c r="AD470" t="s">
        <v>638</v>
      </c>
    </row>
    <row r="471" spans="1:30">
      <c r="A471">
        <v>2110060097</v>
      </c>
      <c r="B471" t="s">
        <v>30</v>
      </c>
      <c r="C471" t="s">
        <v>31</v>
      </c>
      <c r="D471" t="s">
        <v>32</v>
      </c>
      <c r="E471" t="s">
        <v>118</v>
      </c>
      <c r="F471" t="s">
        <v>48</v>
      </c>
      <c r="G471" t="s">
        <v>643</v>
      </c>
      <c r="H471" t="s">
        <v>50</v>
      </c>
      <c r="I471" t="s">
        <v>644</v>
      </c>
      <c r="J471" t="s">
        <v>645</v>
      </c>
      <c r="K471" t="str">
        <f>"na"</f>
        <v>0</v>
      </c>
      <c r="L471">
        <v>269100</v>
      </c>
      <c r="M471"/>
      <c r="N471" t="s">
        <v>38</v>
      </c>
      <c r="O471" t="s">
        <v>38</v>
      </c>
      <c r="P471" t="s">
        <v>53</v>
      </c>
      <c r="Q471" t="s">
        <v>38</v>
      </c>
      <c r="R471" t="s">
        <v>38</v>
      </c>
      <c r="S471" t="s">
        <v>42</v>
      </c>
      <c r="T471" t="s">
        <v>42</v>
      </c>
      <c r="U471" t="s">
        <v>631</v>
      </c>
      <c r="V471" t="s">
        <v>636</v>
      </c>
      <c r="W471" t="s">
        <v>631</v>
      </c>
      <c r="X471" t="s">
        <v>45</v>
      </c>
      <c r="Y471" t="s">
        <v>637</v>
      </c>
      <c r="Z471" t="s">
        <v>47</v>
      </c>
      <c r="AA471"/>
      <c r="AB471"/>
      <c r="AC471"/>
      <c r="AD471" t="s">
        <v>638</v>
      </c>
    </row>
    <row r="472" spans="1:30">
      <c r="A472">
        <v>2110060100</v>
      </c>
      <c r="B472" t="s">
        <v>30</v>
      </c>
      <c r="C472" t="s">
        <v>31</v>
      </c>
      <c r="D472" t="s">
        <v>32</v>
      </c>
      <c r="E472" t="s">
        <v>118</v>
      </c>
      <c r="F472" t="s">
        <v>48</v>
      </c>
      <c r="G472" t="s">
        <v>646</v>
      </c>
      <c r="H472" t="s">
        <v>50</v>
      </c>
      <c r="I472" t="s">
        <v>647</v>
      </c>
      <c r="J472" t="s">
        <v>59</v>
      </c>
      <c r="K472" t="str">
        <f>"na"</f>
        <v>0</v>
      </c>
      <c r="L472">
        <v>30000</v>
      </c>
      <c r="M472"/>
      <c r="N472" t="s">
        <v>38</v>
      </c>
      <c r="O472" t="s">
        <v>38</v>
      </c>
      <c r="P472" t="s">
        <v>53</v>
      </c>
      <c r="Q472" t="s">
        <v>38</v>
      </c>
      <c r="R472" t="s">
        <v>38</v>
      </c>
      <c r="S472" t="s">
        <v>42</v>
      </c>
      <c r="T472" t="s">
        <v>42</v>
      </c>
      <c r="U472" t="s">
        <v>631</v>
      </c>
      <c r="V472" t="s">
        <v>636</v>
      </c>
      <c r="W472" t="s">
        <v>631</v>
      </c>
      <c r="X472" t="s">
        <v>45</v>
      </c>
      <c r="Y472" t="s">
        <v>637</v>
      </c>
      <c r="Z472" t="s">
        <v>47</v>
      </c>
      <c r="AA472"/>
      <c r="AB472"/>
      <c r="AC472"/>
      <c r="AD472" t="s">
        <v>638</v>
      </c>
    </row>
    <row r="473" spans="1:30">
      <c r="A473">
        <v>2110060080</v>
      </c>
      <c r="B473" t="s">
        <v>30</v>
      </c>
      <c r="C473" t="s">
        <v>31</v>
      </c>
      <c r="D473" t="s">
        <v>32</v>
      </c>
      <c r="E473" t="s">
        <v>118</v>
      </c>
      <c r="F473" t="s">
        <v>64</v>
      </c>
      <c r="G473" t="s">
        <v>648</v>
      </c>
      <c r="H473" t="s">
        <v>50</v>
      </c>
      <c r="I473" t="s">
        <v>173</v>
      </c>
      <c r="J473" t="s">
        <v>649</v>
      </c>
      <c r="K473" t="str">
        <f>"ZDJS28187"</f>
        <v>0</v>
      </c>
      <c r="L473">
        <v>109978</v>
      </c>
      <c r="M473"/>
      <c r="N473" t="s">
        <v>38</v>
      </c>
      <c r="O473" t="s">
        <v>38</v>
      </c>
      <c r="P473" t="s">
        <v>53</v>
      </c>
      <c r="Q473" t="s">
        <v>38</v>
      </c>
      <c r="R473" t="s">
        <v>38</v>
      </c>
      <c r="S473" t="s">
        <v>42</v>
      </c>
      <c r="T473" t="s">
        <v>42</v>
      </c>
      <c r="U473" t="s">
        <v>631</v>
      </c>
      <c r="V473" t="s">
        <v>636</v>
      </c>
      <c r="W473" t="s">
        <v>631</v>
      </c>
      <c r="X473" t="s">
        <v>45</v>
      </c>
      <c r="Y473" t="s">
        <v>637</v>
      </c>
      <c r="Z473" t="s">
        <v>47</v>
      </c>
      <c r="AA473"/>
      <c r="AB473"/>
      <c r="AC473"/>
      <c r="AD473" t="s">
        <v>638</v>
      </c>
    </row>
    <row r="474" spans="1:30">
      <c r="A474">
        <v>2110060090</v>
      </c>
      <c r="B474" t="s">
        <v>30</v>
      </c>
      <c r="C474" t="s">
        <v>31</v>
      </c>
      <c r="D474" t="s">
        <v>32</v>
      </c>
      <c r="E474" t="s">
        <v>118</v>
      </c>
      <c r="F474" t="s">
        <v>118</v>
      </c>
      <c r="G474" t="s">
        <v>172</v>
      </c>
      <c r="H474" t="s">
        <v>50</v>
      </c>
      <c r="I474" t="s">
        <v>100</v>
      </c>
      <c r="J474" t="s">
        <v>59</v>
      </c>
      <c r="K474" t="str">
        <f>"na"</f>
        <v>0</v>
      </c>
      <c r="L474">
        <v>110000</v>
      </c>
      <c r="M474"/>
      <c r="N474" t="s">
        <v>38</v>
      </c>
      <c r="O474" t="s">
        <v>38</v>
      </c>
      <c r="P474" t="s">
        <v>53</v>
      </c>
      <c r="Q474" t="s">
        <v>38</v>
      </c>
      <c r="R474" t="s">
        <v>38</v>
      </c>
      <c r="S474" t="s">
        <v>42</v>
      </c>
      <c r="T474" t="s">
        <v>42</v>
      </c>
      <c r="U474" t="s">
        <v>631</v>
      </c>
      <c r="V474" t="s">
        <v>636</v>
      </c>
      <c r="W474" t="s">
        <v>631</v>
      </c>
      <c r="X474" t="s">
        <v>45</v>
      </c>
      <c r="Y474" t="s">
        <v>637</v>
      </c>
      <c r="Z474" t="s">
        <v>47</v>
      </c>
      <c r="AA474"/>
      <c r="AB474"/>
      <c r="AC474"/>
      <c r="AD474" t="s">
        <v>638</v>
      </c>
    </row>
    <row r="475" spans="1:30">
      <c r="A475">
        <v>2110060089</v>
      </c>
      <c r="B475" t="s">
        <v>30</v>
      </c>
      <c r="C475" t="s">
        <v>31</v>
      </c>
      <c r="D475" t="s">
        <v>32</v>
      </c>
      <c r="E475" t="s">
        <v>118</v>
      </c>
      <c r="F475" t="s">
        <v>118</v>
      </c>
      <c r="G475" t="s">
        <v>172</v>
      </c>
      <c r="H475" t="s">
        <v>50</v>
      </c>
      <c r="I475" t="s">
        <v>100</v>
      </c>
      <c r="J475" t="s">
        <v>59</v>
      </c>
      <c r="K475" t="str">
        <f>"na"</f>
        <v>0</v>
      </c>
      <c r="L475">
        <v>110000</v>
      </c>
      <c r="M475"/>
      <c r="N475" t="s">
        <v>38</v>
      </c>
      <c r="O475" t="s">
        <v>38</v>
      </c>
      <c r="P475" t="s">
        <v>53</v>
      </c>
      <c r="Q475" t="s">
        <v>38</v>
      </c>
      <c r="R475" t="s">
        <v>38</v>
      </c>
      <c r="S475" t="s">
        <v>42</v>
      </c>
      <c r="T475" t="s">
        <v>42</v>
      </c>
      <c r="U475" t="s">
        <v>631</v>
      </c>
      <c r="V475" t="s">
        <v>636</v>
      </c>
      <c r="W475" t="s">
        <v>631</v>
      </c>
      <c r="X475" t="s">
        <v>45</v>
      </c>
      <c r="Y475" t="s">
        <v>637</v>
      </c>
      <c r="Z475" t="s">
        <v>47</v>
      </c>
      <c r="AA475"/>
      <c r="AB475"/>
      <c r="AC475"/>
      <c r="AD475" t="s">
        <v>638</v>
      </c>
    </row>
    <row r="476" spans="1:30">
      <c r="A476">
        <v>2110060076</v>
      </c>
      <c r="B476" t="s">
        <v>30</v>
      </c>
      <c r="C476" t="s">
        <v>31</v>
      </c>
      <c r="D476" t="s">
        <v>32</v>
      </c>
      <c r="E476" t="s">
        <v>118</v>
      </c>
      <c r="F476" t="s">
        <v>118</v>
      </c>
      <c r="G476" t="s">
        <v>172</v>
      </c>
      <c r="H476" t="s">
        <v>50</v>
      </c>
      <c r="I476" t="s">
        <v>650</v>
      </c>
      <c r="J476" t="s">
        <v>651</v>
      </c>
      <c r="K476" t="str">
        <f>"na"</f>
        <v>0</v>
      </c>
      <c r="L476">
        <v>90000</v>
      </c>
      <c r="M476"/>
      <c r="N476" t="s">
        <v>38</v>
      </c>
      <c r="O476" t="s">
        <v>38</v>
      </c>
      <c r="P476" t="s">
        <v>53</v>
      </c>
      <c r="Q476" t="s">
        <v>38</v>
      </c>
      <c r="R476" t="s">
        <v>38</v>
      </c>
      <c r="S476" t="s">
        <v>42</v>
      </c>
      <c r="T476" t="s">
        <v>42</v>
      </c>
      <c r="U476" t="s">
        <v>631</v>
      </c>
      <c r="V476" t="s">
        <v>636</v>
      </c>
      <c r="W476" t="s">
        <v>631</v>
      </c>
      <c r="X476" t="s">
        <v>45</v>
      </c>
      <c r="Y476" t="s">
        <v>637</v>
      </c>
      <c r="Z476" t="s">
        <v>47</v>
      </c>
      <c r="AA476"/>
      <c r="AB476"/>
      <c r="AC476"/>
      <c r="AD476" t="s">
        <v>638</v>
      </c>
    </row>
    <row r="477" spans="1:30">
      <c r="A477">
        <v>2110060180</v>
      </c>
      <c r="B477" t="s">
        <v>30</v>
      </c>
      <c r="C477" t="s">
        <v>31</v>
      </c>
      <c r="D477" t="s">
        <v>32</v>
      </c>
      <c r="E477" t="s">
        <v>93</v>
      </c>
      <c r="F477" t="s">
        <v>194</v>
      </c>
      <c r="G477" t="s">
        <v>195</v>
      </c>
      <c r="H477" t="s">
        <v>50</v>
      </c>
      <c r="I477" t="s">
        <v>355</v>
      </c>
      <c r="J477" t="s">
        <v>652</v>
      </c>
      <c r="K477" t="str">
        <f>"9135012113814"</f>
        <v>0</v>
      </c>
      <c r="L477">
        <v>39500</v>
      </c>
      <c r="M477"/>
      <c r="N477" t="s">
        <v>38</v>
      </c>
      <c r="O477" t="s">
        <v>38</v>
      </c>
      <c r="P477" t="s">
        <v>53</v>
      </c>
      <c r="Q477" t="s">
        <v>38</v>
      </c>
      <c r="R477" t="s">
        <v>38</v>
      </c>
      <c r="S477" t="s">
        <v>42</v>
      </c>
      <c r="T477" t="s">
        <v>42</v>
      </c>
      <c r="U477" t="s">
        <v>631</v>
      </c>
      <c r="V477" t="s">
        <v>44</v>
      </c>
      <c r="W477" t="s">
        <v>631</v>
      </c>
      <c r="X477" t="s">
        <v>45</v>
      </c>
      <c r="Y477" t="s">
        <v>653</v>
      </c>
      <c r="Z477" t="s">
        <v>47</v>
      </c>
      <c r="AA477"/>
      <c r="AB477"/>
      <c r="AC477"/>
      <c r="AD477"/>
    </row>
    <row r="478" spans="1:30">
      <c r="A478">
        <v>2110060181</v>
      </c>
      <c r="B478" t="s">
        <v>30</v>
      </c>
      <c r="C478" t="s">
        <v>31</v>
      </c>
      <c r="D478" t="s">
        <v>32</v>
      </c>
      <c r="E478" t="s">
        <v>93</v>
      </c>
      <c r="F478" t="s">
        <v>194</v>
      </c>
      <c r="G478" t="s">
        <v>195</v>
      </c>
      <c r="H478" t="s">
        <v>50</v>
      </c>
      <c r="I478" t="s">
        <v>355</v>
      </c>
      <c r="J478" t="s">
        <v>652</v>
      </c>
      <c r="K478" t="str">
        <f>"9135012113979"</f>
        <v>0</v>
      </c>
      <c r="L478">
        <v>39500</v>
      </c>
      <c r="M478"/>
      <c r="N478" t="s">
        <v>38</v>
      </c>
      <c r="O478" t="s">
        <v>38</v>
      </c>
      <c r="P478" t="s">
        <v>53</v>
      </c>
      <c r="Q478" t="s">
        <v>38</v>
      </c>
      <c r="R478" t="s">
        <v>38</v>
      </c>
      <c r="S478" t="s">
        <v>42</v>
      </c>
      <c r="T478" t="s">
        <v>42</v>
      </c>
      <c r="U478" t="s">
        <v>631</v>
      </c>
      <c r="V478" t="s">
        <v>44</v>
      </c>
      <c r="W478" t="s">
        <v>631</v>
      </c>
      <c r="X478" t="s">
        <v>45</v>
      </c>
      <c r="Y478" t="s">
        <v>653</v>
      </c>
      <c r="Z478" t="s">
        <v>47</v>
      </c>
      <c r="AA478"/>
      <c r="AB478"/>
      <c r="AC478"/>
      <c r="AD478"/>
    </row>
    <row r="479" spans="1:30">
      <c r="A479">
        <v>2110060201</v>
      </c>
      <c r="B479" t="s">
        <v>30</v>
      </c>
      <c r="C479" t="s">
        <v>31</v>
      </c>
      <c r="D479" t="s">
        <v>32</v>
      </c>
      <c r="E479" t="s">
        <v>654</v>
      </c>
      <c r="F479" t="s">
        <v>64</v>
      </c>
      <c r="G479" t="s">
        <v>556</v>
      </c>
      <c r="H479" t="s">
        <v>50</v>
      </c>
      <c r="I479" t="s">
        <v>655</v>
      </c>
      <c r="J479" t="s">
        <v>315</v>
      </c>
      <c r="K479" t="str">
        <f>"3000947"</f>
        <v>0</v>
      </c>
      <c r="L479">
        <v>3405290</v>
      </c>
      <c r="M479"/>
      <c r="N479" t="s">
        <v>38</v>
      </c>
      <c r="O479" t="s">
        <v>38</v>
      </c>
      <c r="P479" t="s">
        <v>53</v>
      </c>
      <c r="Q479" t="s">
        <v>38</v>
      </c>
      <c r="R479" t="s">
        <v>38</v>
      </c>
      <c r="S479" t="s">
        <v>42</v>
      </c>
      <c r="T479" t="s">
        <v>42</v>
      </c>
      <c r="U479" t="s">
        <v>631</v>
      </c>
      <c r="V479" t="s">
        <v>44</v>
      </c>
      <c r="W479" t="s">
        <v>631</v>
      </c>
      <c r="X479" t="s">
        <v>45</v>
      </c>
      <c r="Y479" t="s">
        <v>656</v>
      </c>
      <c r="Z479" t="s">
        <v>47</v>
      </c>
      <c r="AA479"/>
      <c r="AB479"/>
      <c r="AC479"/>
      <c r="AD479"/>
    </row>
    <row r="480" spans="1:30">
      <c r="A480">
        <v>2110060074</v>
      </c>
      <c r="B480" t="s">
        <v>30</v>
      </c>
      <c r="C480" t="s">
        <v>31</v>
      </c>
      <c r="D480" t="s">
        <v>32</v>
      </c>
      <c r="E480" t="s">
        <v>118</v>
      </c>
      <c r="F480" t="s">
        <v>118</v>
      </c>
      <c r="G480" t="s">
        <v>657</v>
      </c>
      <c r="H480" t="s">
        <v>35</v>
      </c>
      <c r="I480" t="s">
        <v>173</v>
      </c>
      <c r="J480" t="s">
        <v>315</v>
      </c>
      <c r="K480" t="str">
        <f>"ZEER16694"</f>
        <v>0</v>
      </c>
      <c r="L480">
        <v>151272</v>
      </c>
      <c r="M480"/>
      <c r="N480" t="s">
        <v>38</v>
      </c>
      <c r="O480" t="s">
        <v>38</v>
      </c>
      <c r="P480" t="s">
        <v>53</v>
      </c>
      <c r="Q480" t="s">
        <v>38</v>
      </c>
      <c r="R480" t="s">
        <v>38</v>
      </c>
      <c r="S480" t="s">
        <v>42</v>
      </c>
      <c r="T480" t="s">
        <v>42</v>
      </c>
      <c r="U480" t="s">
        <v>631</v>
      </c>
      <c r="V480" t="s">
        <v>636</v>
      </c>
      <c r="W480" t="s">
        <v>631</v>
      </c>
      <c r="X480" t="s">
        <v>45</v>
      </c>
      <c r="Y480" t="s">
        <v>637</v>
      </c>
      <c r="Z480" t="s">
        <v>47</v>
      </c>
      <c r="AA480"/>
      <c r="AB480"/>
      <c r="AC480"/>
      <c r="AD480" t="s">
        <v>638</v>
      </c>
    </row>
    <row r="481" spans="1:30">
      <c r="A481">
        <v>2110060086</v>
      </c>
      <c r="B481" t="s">
        <v>30</v>
      </c>
      <c r="C481" t="s">
        <v>31</v>
      </c>
      <c r="D481" t="s">
        <v>32</v>
      </c>
      <c r="E481" t="s">
        <v>118</v>
      </c>
      <c r="F481" t="s">
        <v>118</v>
      </c>
      <c r="G481" t="s">
        <v>657</v>
      </c>
      <c r="H481" t="s">
        <v>35</v>
      </c>
      <c r="I481" t="s">
        <v>258</v>
      </c>
      <c r="J481" t="s">
        <v>378</v>
      </c>
      <c r="K481" t="str">
        <f>"na"</f>
        <v>0</v>
      </c>
      <c r="L481">
        <v>290000</v>
      </c>
      <c r="M481"/>
      <c r="N481" t="s">
        <v>38</v>
      </c>
      <c r="O481" t="s">
        <v>38</v>
      </c>
      <c r="P481" t="s">
        <v>53</v>
      </c>
      <c r="Q481" t="s">
        <v>38</v>
      </c>
      <c r="R481" t="s">
        <v>38</v>
      </c>
      <c r="S481" t="s">
        <v>42</v>
      </c>
      <c r="T481" t="s">
        <v>42</v>
      </c>
      <c r="U481" t="s">
        <v>631</v>
      </c>
      <c r="V481" t="s">
        <v>636</v>
      </c>
      <c r="W481" t="s">
        <v>631</v>
      </c>
      <c r="X481" t="s">
        <v>45</v>
      </c>
      <c r="Y481" t="s">
        <v>637</v>
      </c>
      <c r="Z481" t="s">
        <v>47</v>
      </c>
      <c r="AA481"/>
      <c r="AB481"/>
      <c r="AC481"/>
      <c r="AD481" t="s">
        <v>638</v>
      </c>
    </row>
    <row r="482" spans="1:30">
      <c r="A482">
        <v>2110060099</v>
      </c>
      <c r="B482" t="s">
        <v>30</v>
      </c>
      <c r="C482" t="s">
        <v>31</v>
      </c>
      <c r="D482" t="s">
        <v>32</v>
      </c>
      <c r="E482" t="s">
        <v>118</v>
      </c>
      <c r="F482" t="s">
        <v>48</v>
      </c>
      <c r="G482" t="s">
        <v>203</v>
      </c>
      <c r="H482" t="s">
        <v>50</v>
      </c>
      <c r="I482" t="s">
        <v>100</v>
      </c>
      <c r="J482" t="s">
        <v>59</v>
      </c>
      <c r="K482" t="str">
        <f>"na"</f>
        <v>0</v>
      </c>
      <c r="L482">
        <v>20000</v>
      </c>
      <c r="M482"/>
      <c r="N482" t="s">
        <v>38</v>
      </c>
      <c r="O482" t="s">
        <v>38</v>
      </c>
      <c r="P482" t="s">
        <v>53</v>
      </c>
      <c r="Q482" t="s">
        <v>38</v>
      </c>
      <c r="R482" t="s">
        <v>38</v>
      </c>
      <c r="S482" t="s">
        <v>42</v>
      </c>
      <c r="T482" t="s">
        <v>42</v>
      </c>
      <c r="U482" t="s">
        <v>631</v>
      </c>
      <c r="V482" t="s">
        <v>636</v>
      </c>
      <c r="W482" t="s">
        <v>631</v>
      </c>
      <c r="X482" t="s">
        <v>45</v>
      </c>
      <c r="Y482" t="s">
        <v>637</v>
      </c>
      <c r="Z482" t="s">
        <v>47</v>
      </c>
      <c r="AA482"/>
      <c r="AB482"/>
      <c r="AC482"/>
      <c r="AD482" t="s">
        <v>638</v>
      </c>
    </row>
    <row r="483" spans="1:30">
      <c r="A483">
        <v>2110060072</v>
      </c>
      <c r="B483" t="s">
        <v>30</v>
      </c>
      <c r="C483" t="s">
        <v>31</v>
      </c>
      <c r="D483" t="s">
        <v>32</v>
      </c>
      <c r="E483" t="s">
        <v>118</v>
      </c>
      <c r="F483" t="s">
        <v>64</v>
      </c>
      <c r="G483" t="s">
        <v>99</v>
      </c>
      <c r="H483" t="s">
        <v>50</v>
      </c>
      <c r="I483" t="s">
        <v>469</v>
      </c>
      <c r="J483" t="s">
        <v>470</v>
      </c>
      <c r="K483" t="str">
        <f>"na"</f>
        <v>0</v>
      </c>
      <c r="L483">
        <v>36000</v>
      </c>
      <c r="M483"/>
      <c r="N483" t="s">
        <v>38</v>
      </c>
      <c r="O483" t="s">
        <v>38</v>
      </c>
      <c r="P483" t="s">
        <v>53</v>
      </c>
      <c r="Q483" t="s">
        <v>38</v>
      </c>
      <c r="R483" t="s">
        <v>38</v>
      </c>
      <c r="S483" t="s">
        <v>42</v>
      </c>
      <c r="T483" t="s">
        <v>42</v>
      </c>
      <c r="U483" t="s">
        <v>631</v>
      </c>
      <c r="V483" t="s">
        <v>636</v>
      </c>
      <c r="W483" t="s">
        <v>631</v>
      </c>
      <c r="X483" t="s">
        <v>45</v>
      </c>
      <c r="Y483" t="s">
        <v>637</v>
      </c>
      <c r="Z483" t="s">
        <v>47</v>
      </c>
      <c r="AA483"/>
      <c r="AB483"/>
      <c r="AC483"/>
      <c r="AD483" t="s">
        <v>638</v>
      </c>
    </row>
    <row r="484" spans="1:30">
      <c r="A484">
        <v>2110060092</v>
      </c>
      <c r="B484" t="s">
        <v>30</v>
      </c>
      <c r="C484" t="s">
        <v>31</v>
      </c>
      <c r="D484" t="s">
        <v>32</v>
      </c>
      <c r="E484" t="s">
        <v>118</v>
      </c>
      <c r="F484" t="s">
        <v>64</v>
      </c>
      <c r="G484" t="s">
        <v>99</v>
      </c>
      <c r="H484" t="s">
        <v>50</v>
      </c>
      <c r="I484" t="s">
        <v>469</v>
      </c>
      <c r="J484" t="s">
        <v>470</v>
      </c>
      <c r="K484" t="str">
        <f>"na"</f>
        <v>0</v>
      </c>
      <c r="L484">
        <v>36000</v>
      </c>
      <c r="M484"/>
      <c r="N484" t="s">
        <v>38</v>
      </c>
      <c r="O484" t="s">
        <v>38</v>
      </c>
      <c r="P484" t="s">
        <v>53</v>
      </c>
      <c r="Q484" t="s">
        <v>38</v>
      </c>
      <c r="R484" t="s">
        <v>38</v>
      </c>
      <c r="S484" t="s">
        <v>42</v>
      </c>
      <c r="T484" t="s">
        <v>42</v>
      </c>
      <c r="U484" t="s">
        <v>631</v>
      </c>
      <c r="V484" t="s">
        <v>636</v>
      </c>
      <c r="W484" t="s">
        <v>631</v>
      </c>
      <c r="X484" t="s">
        <v>45</v>
      </c>
      <c r="Y484" t="s">
        <v>637</v>
      </c>
      <c r="Z484" t="s">
        <v>47</v>
      </c>
      <c r="AA484"/>
      <c r="AB484"/>
      <c r="AC484"/>
      <c r="AD484" t="s">
        <v>638</v>
      </c>
    </row>
    <row r="485" spans="1:30">
      <c r="A485">
        <v>2110060128</v>
      </c>
      <c r="B485" t="s">
        <v>30</v>
      </c>
      <c r="C485" t="s">
        <v>31</v>
      </c>
      <c r="D485" t="s">
        <v>32</v>
      </c>
      <c r="E485" t="s">
        <v>658</v>
      </c>
      <c r="F485" t="s">
        <v>64</v>
      </c>
      <c r="G485" t="s">
        <v>99</v>
      </c>
      <c r="H485" t="s">
        <v>50</v>
      </c>
      <c r="I485" t="s">
        <v>469</v>
      </c>
      <c r="J485" t="s">
        <v>503</v>
      </c>
      <c r="K485" t="str">
        <f>"03-31000004477"</f>
        <v>0</v>
      </c>
      <c r="L485">
        <v>36000</v>
      </c>
      <c r="M485"/>
      <c r="N485" t="s">
        <v>38</v>
      </c>
      <c r="O485" t="s">
        <v>38</v>
      </c>
      <c r="P485" t="s">
        <v>53</v>
      </c>
      <c r="Q485" t="s">
        <v>38</v>
      </c>
      <c r="R485" t="s">
        <v>38</v>
      </c>
      <c r="S485" t="s">
        <v>42</v>
      </c>
      <c r="T485" t="s">
        <v>42</v>
      </c>
      <c r="U485" t="s">
        <v>631</v>
      </c>
      <c r="V485" t="s">
        <v>44</v>
      </c>
      <c r="W485" t="s">
        <v>631</v>
      </c>
      <c r="X485" t="s">
        <v>45</v>
      </c>
      <c r="Y485" t="s">
        <v>653</v>
      </c>
      <c r="Z485" t="s">
        <v>47</v>
      </c>
      <c r="AA485"/>
      <c r="AB485"/>
      <c r="AC485"/>
      <c r="AD485"/>
    </row>
    <row r="486" spans="1:30">
      <c r="A486">
        <v>2110060130</v>
      </c>
      <c r="B486" t="s">
        <v>30</v>
      </c>
      <c r="C486" t="s">
        <v>31</v>
      </c>
      <c r="D486" t="s">
        <v>32</v>
      </c>
      <c r="E486" t="s">
        <v>658</v>
      </c>
      <c r="F486" t="s">
        <v>64</v>
      </c>
      <c r="G486" t="s">
        <v>99</v>
      </c>
      <c r="H486" t="s">
        <v>50</v>
      </c>
      <c r="I486" t="s">
        <v>659</v>
      </c>
      <c r="J486" t="s">
        <v>660</v>
      </c>
      <c r="K486" t="str">
        <f>"ct21d00096"</f>
        <v>0</v>
      </c>
      <c r="L486">
        <v>39725</v>
      </c>
      <c r="M486"/>
      <c r="N486" t="s">
        <v>38</v>
      </c>
      <c r="O486" t="s">
        <v>38</v>
      </c>
      <c r="P486" t="s">
        <v>53</v>
      </c>
      <c r="Q486" t="s">
        <v>38</v>
      </c>
      <c r="R486" t="s">
        <v>38</v>
      </c>
      <c r="S486" t="s">
        <v>42</v>
      </c>
      <c r="T486" t="s">
        <v>42</v>
      </c>
      <c r="U486" t="s">
        <v>631</v>
      </c>
      <c r="V486" t="s">
        <v>44</v>
      </c>
      <c r="W486" t="s">
        <v>631</v>
      </c>
      <c r="X486" t="s">
        <v>45</v>
      </c>
      <c r="Y486" t="s">
        <v>653</v>
      </c>
      <c r="Z486" t="s">
        <v>47</v>
      </c>
      <c r="AA486"/>
      <c r="AB486"/>
      <c r="AC486"/>
      <c r="AD486"/>
    </row>
    <row r="487" spans="1:30">
      <c r="A487">
        <v>2110060135</v>
      </c>
      <c r="B487" t="s">
        <v>30</v>
      </c>
      <c r="C487" t="s">
        <v>31</v>
      </c>
      <c r="D487" t="s">
        <v>32</v>
      </c>
      <c r="E487" t="s">
        <v>658</v>
      </c>
      <c r="F487" t="s">
        <v>64</v>
      </c>
      <c r="G487" t="s">
        <v>99</v>
      </c>
      <c r="H487" t="s">
        <v>50</v>
      </c>
      <c r="I487" t="s">
        <v>469</v>
      </c>
      <c r="J487" t="s">
        <v>503</v>
      </c>
      <c r="K487" t="str">
        <f>"03-31000003563"</f>
        <v>0</v>
      </c>
      <c r="L487">
        <v>36000</v>
      </c>
      <c r="M487"/>
      <c r="N487" t="s">
        <v>38</v>
      </c>
      <c r="O487" t="s">
        <v>38</v>
      </c>
      <c r="P487" t="s">
        <v>53</v>
      </c>
      <c r="Q487" t="s">
        <v>38</v>
      </c>
      <c r="R487" t="s">
        <v>38</v>
      </c>
      <c r="S487" t="s">
        <v>42</v>
      </c>
      <c r="T487" t="s">
        <v>42</v>
      </c>
      <c r="U487" t="s">
        <v>631</v>
      </c>
      <c r="V487" t="s">
        <v>44</v>
      </c>
      <c r="W487" t="s">
        <v>631</v>
      </c>
      <c r="X487" t="s">
        <v>45</v>
      </c>
      <c r="Y487" t="s">
        <v>653</v>
      </c>
      <c r="Z487" t="s">
        <v>47</v>
      </c>
      <c r="AA487"/>
      <c r="AB487"/>
      <c r="AC487"/>
      <c r="AD487"/>
    </row>
    <row r="488" spans="1:30">
      <c r="A488">
        <v>2110060136</v>
      </c>
      <c r="B488" t="s">
        <v>30</v>
      </c>
      <c r="C488" t="s">
        <v>31</v>
      </c>
      <c r="D488" t="s">
        <v>32</v>
      </c>
      <c r="E488" t="s">
        <v>658</v>
      </c>
      <c r="F488" t="s">
        <v>64</v>
      </c>
      <c r="G488" t="s">
        <v>99</v>
      </c>
      <c r="H488" t="s">
        <v>50</v>
      </c>
      <c r="I488" t="s">
        <v>659</v>
      </c>
      <c r="J488" t="s">
        <v>660</v>
      </c>
      <c r="K488" t="str">
        <f>"ct21D00056"</f>
        <v>0</v>
      </c>
      <c r="L488">
        <v>39725</v>
      </c>
      <c r="M488"/>
      <c r="N488" t="s">
        <v>38</v>
      </c>
      <c r="O488" t="s">
        <v>38</v>
      </c>
      <c r="P488" t="s">
        <v>53</v>
      </c>
      <c r="Q488" t="s">
        <v>38</v>
      </c>
      <c r="R488" t="s">
        <v>38</v>
      </c>
      <c r="S488" t="s">
        <v>42</v>
      </c>
      <c r="T488" t="s">
        <v>42</v>
      </c>
      <c r="U488" t="s">
        <v>631</v>
      </c>
      <c r="V488" t="s">
        <v>44</v>
      </c>
      <c r="W488" t="s">
        <v>631</v>
      </c>
      <c r="X488" t="s">
        <v>45</v>
      </c>
      <c r="Y488" t="s">
        <v>653</v>
      </c>
      <c r="Z488" t="s">
        <v>47</v>
      </c>
      <c r="AA488"/>
      <c r="AB488"/>
      <c r="AC488"/>
      <c r="AD488"/>
    </row>
    <row r="489" spans="1:30">
      <c r="A489">
        <v>2110060197</v>
      </c>
      <c r="B489" t="s">
        <v>30</v>
      </c>
      <c r="C489" t="s">
        <v>31</v>
      </c>
      <c r="D489" t="s">
        <v>32</v>
      </c>
      <c r="E489" t="s">
        <v>654</v>
      </c>
      <c r="F489" t="s">
        <v>166</v>
      </c>
      <c r="G489" t="s">
        <v>167</v>
      </c>
      <c r="H489" t="s">
        <v>35</v>
      </c>
      <c r="I489" t="s">
        <v>311</v>
      </c>
      <c r="J489" t="s">
        <v>661</v>
      </c>
      <c r="K489" t="str">
        <f>"De671H1927"</f>
        <v>0</v>
      </c>
      <c r="L489">
        <v>529100</v>
      </c>
      <c r="M489"/>
      <c r="N489" t="s">
        <v>38</v>
      </c>
      <c r="O489" t="s">
        <v>38</v>
      </c>
      <c r="P489" t="s">
        <v>53</v>
      </c>
      <c r="Q489" t="s">
        <v>38</v>
      </c>
      <c r="R489" t="s">
        <v>38</v>
      </c>
      <c r="S489" t="s">
        <v>42</v>
      </c>
      <c r="T489" t="s">
        <v>42</v>
      </c>
      <c r="U489" t="s">
        <v>631</v>
      </c>
      <c r="V489" t="s">
        <v>44</v>
      </c>
      <c r="W489" t="s">
        <v>631</v>
      </c>
      <c r="X489" t="s">
        <v>45</v>
      </c>
      <c r="Y489" t="s">
        <v>656</v>
      </c>
      <c r="Z489" t="s">
        <v>47</v>
      </c>
      <c r="AA489"/>
      <c r="AB489"/>
      <c r="AC489"/>
      <c r="AD489"/>
    </row>
    <row r="490" spans="1:30">
      <c r="A490">
        <v>2110060196</v>
      </c>
      <c r="B490" t="s">
        <v>30</v>
      </c>
      <c r="C490" t="s">
        <v>31</v>
      </c>
      <c r="D490" t="s">
        <v>32</v>
      </c>
      <c r="E490" t="s">
        <v>654</v>
      </c>
      <c r="F490" t="s">
        <v>166</v>
      </c>
      <c r="G490" t="s">
        <v>167</v>
      </c>
      <c r="H490" t="s">
        <v>35</v>
      </c>
      <c r="I490" t="s">
        <v>311</v>
      </c>
      <c r="J490" t="s">
        <v>315</v>
      </c>
      <c r="K490" t="str">
        <f>"De7580A1E1"</f>
        <v>0</v>
      </c>
      <c r="L490">
        <v>529100</v>
      </c>
      <c r="M490"/>
      <c r="N490" t="s">
        <v>38</v>
      </c>
      <c r="O490" t="s">
        <v>38</v>
      </c>
      <c r="P490" t="s">
        <v>53</v>
      </c>
      <c r="Q490" t="s">
        <v>38</v>
      </c>
      <c r="R490" t="s">
        <v>38</v>
      </c>
      <c r="S490" t="s">
        <v>42</v>
      </c>
      <c r="T490" t="s">
        <v>42</v>
      </c>
      <c r="U490" t="s">
        <v>631</v>
      </c>
      <c r="V490" t="s">
        <v>44</v>
      </c>
      <c r="W490" t="s">
        <v>631</v>
      </c>
      <c r="X490" t="s">
        <v>45</v>
      </c>
      <c r="Y490" t="s">
        <v>656</v>
      </c>
      <c r="Z490" t="s">
        <v>47</v>
      </c>
      <c r="AA490"/>
      <c r="AB490"/>
      <c r="AC490"/>
      <c r="AD490"/>
    </row>
    <row r="491" spans="1:30">
      <c r="A491">
        <v>2110060183</v>
      </c>
      <c r="B491" t="s">
        <v>30</v>
      </c>
      <c r="C491" t="s">
        <v>31</v>
      </c>
      <c r="D491" t="s">
        <v>32</v>
      </c>
      <c r="E491" t="s">
        <v>339</v>
      </c>
      <c r="F491" t="s">
        <v>340</v>
      </c>
      <c r="G491" t="s">
        <v>662</v>
      </c>
      <c r="H491" t="s">
        <v>35</v>
      </c>
      <c r="I491" t="s">
        <v>663</v>
      </c>
      <c r="J491">
        <v>500</v>
      </c>
      <c r="K491" t="str">
        <f>"50035240"</f>
        <v>0</v>
      </c>
      <c r="L491">
        <v>3320000</v>
      </c>
      <c r="M491"/>
      <c r="N491" t="s">
        <v>38</v>
      </c>
      <c r="O491" t="s">
        <v>38</v>
      </c>
      <c r="P491" t="s">
        <v>53</v>
      </c>
      <c r="Q491" t="s">
        <v>38</v>
      </c>
      <c r="R491" t="s">
        <v>38</v>
      </c>
      <c r="S491" t="s">
        <v>42</v>
      </c>
      <c r="T491" t="s">
        <v>42</v>
      </c>
      <c r="U491" t="s">
        <v>631</v>
      </c>
      <c r="V491" t="s">
        <v>44</v>
      </c>
      <c r="W491" t="s">
        <v>631</v>
      </c>
      <c r="X491" t="s">
        <v>45</v>
      </c>
      <c r="Y491" t="s">
        <v>664</v>
      </c>
      <c r="Z491" t="s">
        <v>47</v>
      </c>
      <c r="AA491"/>
      <c r="AB491"/>
      <c r="AC491"/>
      <c r="AD491"/>
    </row>
    <row r="492" spans="1:30">
      <c r="A492">
        <v>2110060186</v>
      </c>
      <c r="B492" t="s">
        <v>30</v>
      </c>
      <c r="C492" t="s">
        <v>31</v>
      </c>
      <c r="D492" t="s">
        <v>32</v>
      </c>
      <c r="E492" t="s">
        <v>339</v>
      </c>
      <c r="F492" t="s">
        <v>340</v>
      </c>
      <c r="G492" t="s">
        <v>665</v>
      </c>
      <c r="H492" t="s">
        <v>50</v>
      </c>
      <c r="I492" t="s">
        <v>666</v>
      </c>
      <c r="J492" t="s">
        <v>667</v>
      </c>
      <c r="K492" t="str">
        <f>"09-3950"</f>
        <v>0</v>
      </c>
      <c r="L492">
        <v>670972</v>
      </c>
      <c r="M492"/>
      <c r="N492" t="s">
        <v>38</v>
      </c>
      <c r="O492" t="s">
        <v>38</v>
      </c>
      <c r="P492" t="s">
        <v>53</v>
      </c>
      <c r="Q492" t="s">
        <v>38</v>
      </c>
      <c r="R492" t="s">
        <v>38</v>
      </c>
      <c r="S492" t="s">
        <v>42</v>
      </c>
      <c r="T492" t="s">
        <v>42</v>
      </c>
      <c r="U492" t="s">
        <v>631</v>
      </c>
      <c r="V492" t="s">
        <v>44</v>
      </c>
      <c r="W492" t="s">
        <v>631</v>
      </c>
      <c r="X492" t="s">
        <v>45</v>
      </c>
      <c r="Y492" t="s">
        <v>664</v>
      </c>
      <c r="Z492" t="s">
        <v>47</v>
      </c>
      <c r="AA492"/>
      <c r="AB492"/>
      <c r="AC492"/>
      <c r="AD492"/>
    </row>
    <row r="493" spans="1:30">
      <c r="A493">
        <v>2110060226</v>
      </c>
      <c r="B493" t="s">
        <v>30</v>
      </c>
      <c r="C493" t="s">
        <v>31</v>
      </c>
      <c r="D493" t="s">
        <v>32</v>
      </c>
      <c r="E493" t="s">
        <v>188</v>
      </c>
      <c r="F493" t="s">
        <v>188</v>
      </c>
      <c r="G493" t="s">
        <v>668</v>
      </c>
      <c r="H493" t="s">
        <v>50</v>
      </c>
      <c r="I493" t="s">
        <v>571</v>
      </c>
      <c r="J493" t="s">
        <v>59</v>
      </c>
      <c r="K493" t="str">
        <f>"na"</f>
        <v>0</v>
      </c>
      <c r="L493">
        <v>35000</v>
      </c>
      <c r="M493"/>
      <c r="N493" t="s">
        <v>38</v>
      </c>
      <c r="O493" t="s">
        <v>38</v>
      </c>
      <c r="P493" t="s">
        <v>53</v>
      </c>
      <c r="Q493" t="s">
        <v>38</v>
      </c>
      <c r="R493" t="s">
        <v>38</v>
      </c>
      <c r="S493" t="s">
        <v>42</v>
      </c>
      <c r="T493" t="s">
        <v>42</v>
      </c>
      <c r="U493" t="s">
        <v>631</v>
      </c>
      <c r="V493" t="s">
        <v>44</v>
      </c>
      <c r="W493" t="s">
        <v>631</v>
      </c>
      <c r="X493" t="s">
        <v>45</v>
      </c>
      <c r="Y493" t="s">
        <v>664</v>
      </c>
      <c r="Z493" t="s">
        <v>47</v>
      </c>
      <c r="AA493"/>
      <c r="AB493"/>
      <c r="AC493"/>
      <c r="AD493"/>
    </row>
    <row r="494" spans="1:30">
      <c r="A494">
        <v>2110060229</v>
      </c>
      <c r="B494" t="s">
        <v>30</v>
      </c>
      <c r="C494" t="s">
        <v>31</v>
      </c>
      <c r="D494" t="s">
        <v>32</v>
      </c>
      <c r="E494" t="s">
        <v>188</v>
      </c>
      <c r="F494" t="s">
        <v>188</v>
      </c>
      <c r="G494" t="s">
        <v>669</v>
      </c>
      <c r="H494" t="s">
        <v>50</v>
      </c>
      <c r="I494" t="s">
        <v>375</v>
      </c>
      <c r="J494" t="s">
        <v>59</v>
      </c>
      <c r="K494" t="str">
        <f>"na"</f>
        <v>0</v>
      </c>
      <c r="L494">
        <v>28700</v>
      </c>
      <c r="M494"/>
      <c r="N494" t="s">
        <v>38</v>
      </c>
      <c r="O494" t="s">
        <v>38</v>
      </c>
      <c r="P494" t="s">
        <v>53</v>
      </c>
      <c r="Q494" t="s">
        <v>38</v>
      </c>
      <c r="R494" t="s">
        <v>38</v>
      </c>
      <c r="S494" t="s">
        <v>42</v>
      </c>
      <c r="T494" t="s">
        <v>42</v>
      </c>
      <c r="U494" t="s">
        <v>631</v>
      </c>
      <c r="V494" t="s">
        <v>44</v>
      </c>
      <c r="W494" t="s">
        <v>631</v>
      </c>
      <c r="X494" t="s">
        <v>45</v>
      </c>
      <c r="Y494" t="s">
        <v>664</v>
      </c>
      <c r="Z494" t="s">
        <v>47</v>
      </c>
      <c r="AA494"/>
      <c r="AB494"/>
      <c r="AC494"/>
      <c r="AD494"/>
    </row>
    <row r="495" spans="1:30">
      <c r="A495">
        <v>2110060232</v>
      </c>
      <c r="B495" t="s">
        <v>30</v>
      </c>
      <c r="C495" t="s">
        <v>31</v>
      </c>
      <c r="D495" t="s">
        <v>32</v>
      </c>
      <c r="E495" t="s">
        <v>188</v>
      </c>
      <c r="F495" t="s">
        <v>188</v>
      </c>
      <c r="G495" t="s">
        <v>670</v>
      </c>
      <c r="H495" t="s">
        <v>50</v>
      </c>
      <c r="I495" t="s">
        <v>375</v>
      </c>
      <c r="J495" t="s">
        <v>59</v>
      </c>
      <c r="K495" t="str">
        <f>"na"</f>
        <v>0</v>
      </c>
      <c r="L495">
        <v>15000</v>
      </c>
      <c r="M495"/>
      <c r="N495" t="s">
        <v>38</v>
      </c>
      <c r="O495" t="s">
        <v>38</v>
      </c>
      <c r="P495" t="s">
        <v>53</v>
      </c>
      <c r="Q495" t="s">
        <v>38</v>
      </c>
      <c r="R495" t="s">
        <v>38</v>
      </c>
      <c r="S495" t="s">
        <v>42</v>
      </c>
      <c r="T495" t="s">
        <v>42</v>
      </c>
      <c r="U495" t="s">
        <v>631</v>
      </c>
      <c r="V495" t="s">
        <v>44</v>
      </c>
      <c r="W495" t="s">
        <v>631</v>
      </c>
      <c r="X495" t="s">
        <v>45</v>
      </c>
      <c r="Y495" t="s">
        <v>664</v>
      </c>
      <c r="Z495" t="s">
        <v>47</v>
      </c>
      <c r="AA495"/>
      <c r="AB495"/>
      <c r="AC495"/>
      <c r="AD495"/>
    </row>
    <row r="496" spans="1:30">
      <c r="A496">
        <v>2110060211</v>
      </c>
      <c r="B496" t="s">
        <v>30</v>
      </c>
      <c r="C496" t="s">
        <v>31</v>
      </c>
      <c r="D496" t="s">
        <v>32</v>
      </c>
      <c r="E496" t="s">
        <v>79</v>
      </c>
      <c r="F496" t="s">
        <v>671</v>
      </c>
      <c r="G496" t="s">
        <v>363</v>
      </c>
      <c r="H496" t="s">
        <v>50</v>
      </c>
      <c r="I496" t="s">
        <v>311</v>
      </c>
      <c r="J496" t="s">
        <v>672</v>
      </c>
      <c r="K496" t="str">
        <f>"De65938176"</f>
        <v>0</v>
      </c>
      <c r="L496">
        <v>485000</v>
      </c>
      <c r="M496"/>
      <c r="N496" t="s">
        <v>38</v>
      </c>
      <c r="O496" t="s">
        <v>38</v>
      </c>
      <c r="P496" t="s">
        <v>53</v>
      </c>
      <c r="Q496" t="s">
        <v>38</v>
      </c>
      <c r="R496" t="s">
        <v>38</v>
      </c>
      <c r="S496" t="s">
        <v>42</v>
      </c>
      <c r="T496" t="s">
        <v>42</v>
      </c>
      <c r="U496" t="s">
        <v>631</v>
      </c>
      <c r="V496" t="s">
        <v>44</v>
      </c>
      <c r="W496" t="s">
        <v>631</v>
      </c>
      <c r="X496" t="s">
        <v>45</v>
      </c>
      <c r="Y496" t="s">
        <v>673</v>
      </c>
      <c r="Z496" t="s">
        <v>47</v>
      </c>
      <c r="AA496"/>
      <c r="AB496"/>
      <c r="AC496"/>
      <c r="AD496"/>
    </row>
    <row r="497" spans="1:30">
      <c r="A497">
        <v>2110060227</v>
      </c>
      <c r="B497" t="s">
        <v>30</v>
      </c>
      <c r="C497" t="s">
        <v>31</v>
      </c>
      <c r="D497" t="s">
        <v>32</v>
      </c>
      <c r="E497" t="s">
        <v>188</v>
      </c>
      <c r="F497" t="s">
        <v>188</v>
      </c>
      <c r="G497" t="s">
        <v>674</v>
      </c>
      <c r="H497" t="s">
        <v>50</v>
      </c>
      <c r="I497" t="s">
        <v>675</v>
      </c>
      <c r="J497" t="s">
        <v>676</v>
      </c>
      <c r="K497" t="str">
        <f>"1051"</f>
        <v>0</v>
      </c>
      <c r="L497">
        <v>60000</v>
      </c>
      <c r="M497"/>
      <c r="N497" t="s">
        <v>38</v>
      </c>
      <c r="O497" t="s">
        <v>38</v>
      </c>
      <c r="P497" t="s">
        <v>53</v>
      </c>
      <c r="Q497" t="s">
        <v>38</v>
      </c>
      <c r="R497" t="s">
        <v>38</v>
      </c>
      <c r="S497" t="s">
        <v>42</v>
      </c>
      <c r="T497" t="s">
        <v>42</v>
      </c>
      <c r="U497" t="s">
        <v>631</v>
      </c>
      <c r="V497" t="s">
        <v>44</v>
      </c>
      <c r="W497" t="s">
        <v>631</v>
      </c>
      <c r="X497" t="s">
        <v>45</v>
      </c>
      <c r="Y497" t="s">
        <v>677</v>
      </c>
      <c r="Z497" t="s">
        <v>47</v>
      </c>
      <c r="AA497"/>
      <c r="AB497"/>
      <c r="AC497"/>
      <c r="AD497"/>
    </row>
    <row r="498" spans="1:30">
      <c r="A498">
        <v>2110060228</v>
      </c>
      <c r="B498" t="s">
        <v>30</v>
      </c>
      <c r="C498" t="s">
        <v>31</v>
      </c>
      <c r="D498" t="s">
        <v>32</v>
      </c>
      <c r="E498" t="s">
        <v>188</v>
      </c>
      <c r="F498" t="s">
        <v>188</v>
      </c>
      <c r="G498" t="s">
        <v>237</v>
      </c>
      <c r="H498" t="s">
        <v>50</v>
      </c>
      <c r="I498" t="s">
        <v>675</v>
      </c>
      <c r="J498" t="s">
        <v>315</v>
      </c>
      <c r="K498" t="str">
        <f>"082021282"</f>
        <v>0</v>
      </c>
      <c r="L498">
        <v>33075</v>
      </c>
      <c r="M498"/>
      <c r="N498" t="s">
        <v>38</v>
      </c>
      <c r="O498" t="s">
        <v>38</v>
      </c>
      <c r="P498" t="s">
        <v>53</v>
      </c>
      <c r="Q498" t="s">
        <v>38</v>
      </c>
      <c r="R498" t="s">
        <v>38</v>
      </c>
      <c r="S498" t="s">
        <v>42</v>
      </c>
      <c r="T498" t="s">
        <v>42</v>
      </c>
      <c r="U498" t="s">
        <v>631</v>
      </c>
      <c r="V498" t="s">
        <v>44</v>
      </c>
      <c r="W498" t="s">
        <v>631</v>
      </c>
      <c r="X498" t="s">
        <v>45</v>
      </c>
      <c r="Y498" t="s">
        <v>677</v>
      </c>
      <c r="Z498" t="s">
        <v>47</v>
      </c>
      <c r="AA498"/>
      <c r="AB498"/>
      <c r="AC498"/>
      <c r="AD498"/>
    </row>
    <row r="499" spans="1:30">
      <c r="A499">
        <v>2110060148</v>
      </c>
      <c r="B499" t="s">
        <v>30</v>
      </c>
      <c r="C499" t="s">
        <v>31</v>
      </c>
      <c r="D499" t="s">
        <v>32</v>
      </c>
      <c r="E499" t="s">
        <v>344</v>
      </c>
      <c r="F499" t="s">
        <v>64</v>
      </c>
      <c r="G499" t="s">
        <v>345</v>
      </c>
      <c r="H499" t="s">
        <v>35</v>
      </c>
      <c r="I499" t="s">
        <v>678</v>
      </c>
      <c r="J499" t="s">
        <v>679</v>
      </c>
      <c r="K499" t="str">
        <f>"16.12.2420"</f>
        <v>0</v>
      </c>
      <c r="L499">
        <v>163004</v>
      </c>
      <c r="M499"/>
      <c r="N499" t="s">
        <v>38</v>
      </c>
      <c r="O499" t="s">
        <v>38</v>
      </c>
      <c r="P499" t="s">
        <v>53</v>
      </c>
      <c r="Q499" t="s">
        <v>38</v>
      </c>
      <c r="R499" t="s">
        <v>38</v>
      </c>
      <c r="S499" t="s">
        <v>42</v>
      </c>
      <c r="T499" t="s">
        <v>42</v>
      </c>
      <c r="U499" t="s">
        <v>631</v>
      </c>
      <c r="V499" t="s">
        <v>44</v>
      </c>
      <c r="W499" t="s">
        <v>631</v>
      </c>
      <c r="X499" t="s">
        <v>45</v>
      </c>
      <c r="Y499" t="s">
        <v>653</v>
      </c>
      <c r="Z499" t="s">
        <v>47</v>
      </c>
      <c r="AA499"/>
      <c r="AB499"/>
      <c r="AC499"/>
      <c r="AD499"/>
    </row>
    <row r="500" spans="1:30">
      <c r="A500">
        <v>2110060209</v>
      </c>
      <c r="B500" t="s">
        <v>30</v>
      </c>
      <c r="C500" t="s">
        <v>31</v>
      </c>
      <c r="D500" t="s">
        <v>32</v>
      </c>
      <c r="E500" t="s">
        <v>654</v>
      </c>
      <c r="F500" t="s">
        <v>166</v>
      </c>
      <c r="G500" t="s">
        <v>167</v>
      </c>
      <c r="H500" t="s">
        <v>35</v>
      </c>
      <c r="I500" t="s">
        <v>311</v>
      </c>
      <c r="J500" t="s">
        <v>661</v>
      </c>
      <c r="K500" t="str">
        <f>"De7580A1cp"</f>
        <v>0</v>
      </c>
      <c r="L500">
        <v>529100</v>
      </c>
      <c r="M500"/>
      <c r="N500" t="s">
        <v>38</v>
      </c>
      <c r="O500" t="s">
        <v>38</v>
      </c>
      <c r="P500" t="s">
        <v>53</v>
      </c>
      <c r="Q500" t="s">
        <v>38</v>
      </c>
      <c r="R500" t="s">
        <v>38</v>
      </c>
      <c r="S500" t="s">
        <v>42</v>
      </c>
      <c r="T500" t="s">
        <v>42</v>
      </c>
      <c r="U500" t="s">
        <v>631</v>
      </c>
      <c r="V500" t="s">
        <v>44</v>
      </c>
      <c r="W500" t="s">
        <v>631</v>
      </c>
      <c r="X500" t="s">
        <v>45</v>
      </c>
      <c r="Y500" t="s">
        <v>680</v>
      </c>
      <c r="Z500" t="s">
        <v>47</v>
      </c>
      <c r="AA500"/>
      <c r="AB500"/>
      <c r="AC500"/>
      <c r="AD500"/>
    </row>
    <row r="501" spans="1:30">
      <c r="A501">
        <v>2110060187</v>
      </c>
      <c r="B501" t="s">
        <v>30</v>
      </c>
      <c r="C501" t="s">
        <v>31</v>
      </c>
      <c r="D501" t="s">
        <v>32</v>
      </c>
      <c r="E501" t="s">
        <v>339</v>
      </c>
      <c r="F501" t="s">
        <v>340</v>
      </c>
      <c r="G501" t="s">
        <v>681</v>
      </c>
      <c r="H501" t="s">
        <v>50</v>
      </c>
      <c r="I501" t="s">
        <v>393</v>
      </c>
      <c r="J501" t="s">
        <v>682</v>
      </c>
      <c r="K501" t="str">
        <f>"12526,2901140104"</f>
        <v>0</v>
      </c>
      <c r="L501">
        <v>94500</v>
      </c>
      <c r="M501"/>
      <c r="N501" t="s">
        <v>38</v>
      </c>
      <c r="O501" t="s">
        <v>38</v>
      </c>
      <c r="P501" t="s">
        <v>53</v>
      </c>
      <c r="Q501" t="s">
        <v>38</v>
      </c>
      <c r="R501" t="s">
        <v>38</v>
      </c>
      <c r="S501" t="s">
        <v>42</v>
      </c>
      <c r="T501" t="s">
        <v>42</v>
      </c>
      <c r="U501" t="s">
        <v>631</v>
      </c>
      <c r="V501" t="s">
        <v>44</v>
      </c>
      <c r="W501" t="s">
        <v>631</v>
      </c>
      <c r="X501" t="s">
        <v>45</v>
      </c>
      <c r="Y501" t="s">
        <v>664</v>
      </c>
      <c r="Z501" t="s">
        <v>47</v>
      </c>
      <c r="AA501"/>
      <c r="AB501"/>
      <c r="AC501"/>
      <c r="AD501"/>
    </row>
    <row r="502" spans="1:30">
      <c r="A502">
        <v>2110060184</v>
      </c>
      <c r="B502" t="s">
        <v>30</v>
      </c>
      <c r="C502" t="s">
        <v>31</v>
      </c>
      <c r="D502" t="s">
        <v>32</v>
      </c>
      <c r="E502" t="s">
        <v>339</v>
      </c>
      <c r="F502" t="s">
        <v>340</v>
      </c>
      <c r="G502" t="s">
        <v>683</v>
      </c>
      <c r="H502" t="s">
        <v>50</v>
      </c>
      <c r="I502" t="s">
        <v>684</v>
      </c>
      <c r="J502" t="s">
        <v>685</v>
      </c>
      <c r="K502" t="str">
        <f>"81912"</f>
        <v>0</v>
      </c>
      <c r="L502">
        <v>3122752</v>
      </c>
      <c r="M502"/>
      <c r="N502" t="s">
        <v>38</v>
      </c>
      <c r="O502" t="s">
        <v>38</v>
      </c>
      <c r="P502" t="s">
        <v>53</v>
      </c>
      <c r="Q502" t="s">
        <v>38</v>
      </c>
      <c r="R502" t="s">
        <v>38</v>
      </c>
      <c r="S502" t="s">
        <v>42</v>
      </c>
      <c r="T502" t="s">
        <v>42</v>
      </c>
      <c r="U502" t="s">
        <v>631</v>
      </c>
      <c r="V502" t="s">
        <v>44</v>
      </c>
      <c r="W502" t="s">
        <v>631</v>
      </c>
      <c r="X502" t="s">
        <v>45</v>
      </c>
      <c r="Y502" t="s">
        <v>664</v>
      </c>
      <c r="Z502" t="s">
        <v>47</v>
      </c>
      <c r="AA502"/>
      <c r="AB502"/>
      <c r="AC502"/>
      <c r="AD502"/>
    </row>
    <row r="503" spans="1:30">
      <c r="A503">
        <v>2110060168</v>
      </c>
      <c r="B503" t="s">
        <v>30</v>
      </c>
      <c r="C503" t="s">
        <v>31</v>
      </c>
      <c r="D503" t="s">
        <v>32</v>
      </c>
      <c r="E503" t="s">
        <v>93</v>
      </c>
      <c r="F503" t="s">
        <v>94</v>
      </c>
      <c r="G503" t="s">
        <v>95</v>
      </c>
      <c r="H503" t="s">
        <v>35</v>
      </c>
      <c r="I503" t="s">
        <v>82</v>
      </c>
      <c r="J503" t="s">
        <v>686</v>
      </c>
      <c r="K503" t="str">
        <f>"14506"</f>
        <v>0</v>
      </c>
      <c r="L503">
        <v>69636</v>
      </c>
      <c r="M503"/>
      <c r="N503" t="s">
        <v>38</v>
      </c>
      <c r="O503" t="s">
        <v>38</v>
      </c>
      <c r="P503" t="s">
        <v>53</v>
      </c>
      <c r="Q503" t="s">
        <v>38</v>
      </c>
      <c r="R503" t="s">
        <v>38</v>
      </c>
      <c r="S503" t="s">
        <v>42</v>
      </c>
      <c r="T503" t="s">
        <v>42</v>
      </c>
      <c r="U503" t="s">
        <v>631</v>
      </c>
      <c r="V503" t="s">
        <v>44</v>
      </c>
      <c r="W503" t="s">
        <v>631</v>
      </c>
      <c r="X503" t="s">
        <v>45</v>
      </c>
      <c r="Y503" t="s">
        <v>653</v>
      </c>
      <c r="Z503" t="s">
        <v>47</v>
      </c>
      <c r="AA503"/>
      <c r="AB503"/>
      <c r="AC503"/>
      <c r="AD503"/>
    </row>
    <row r="504" spans="1:30">
      <c r="A504">
        <v>2110060206</v>
      </c>
      <c r="B504" t="s">
        <v>30</v>
      </c>
      <c r="C504" t="s">
        <v>31</v>
      </c>
      <c r="D504" t="s">
        <v>32</v>
      </c>
      <c r="E504" t="s">
        <v>55</v>
      </c>
      <c r="F504" t="s">
        <v>143</v>
      </c>
      <c r="G504" t="s">
        <v>144</v>
      </c>
      <c r="H504" t="s">
        <v>50</v>
      </c>
      <c r="I504" t="s">
        <v>375</v>
      </c>
      <c r="J504" t="s">
        <v>59</v>
      </c>
      <c r="K504" t="str">
        <f>"na"</f>
        <v>0</v>
      </c>
      <c r="L504">
        <v>34335</v>
      </c>
      <c r="M504"/>
      <c r="N504" t="s">
        <v>38</v>
      </c>
      <c r="O504" t="s">
        <v>38</v>
      </c>
      <c r="P504" t="s">
        <v>53</v>
      </c>
      <c r="Q504" t="s">
        <v>38</v>
      </c>
      <c r="R504" t="s">
        <v>38</v>
      </c>
      <c r="S504" t="s">
        <v>42</v>
      </c>
      <c r="T504" t="s">
        <v>42</v>
      </c>
      <c r="U504" t="s">
        <v>631</v>
      </c>
      <c r="V504" t="s">
        <v>44</v>
      </c>
      <c r="W504" t="s">
        <v>631</v>
      </c>
      <c r="X504" t="s">
        <v>45</v>
      </c>
      <c r="Y504" t="s">
        <v>673</v>
      </c>
      <c r="Z504" t="s">
        <v>47</v>
      </c>
      <c r="AA504"/>
      <c r="AB504"/>
      <c r="AC504"/>
      <c r="AD504"/>
    </row>
    <row r="505" spans="1:30">
      <c r="A505">
        <v>2110060202</v>
      </c>
      <c r="B505" t="s">
        <v>30</v>
      </c>
      <c r="C505" t="s">
        <v>31</v>
      </c>
      <c r="D505" t="s">
        <v>32</v>
      </c>
      <c r="E505" t="s">
        <v>654</v>
      </c>
      <c r="F505" t="s">
        <v>33</v>
      </c>
      <c r="G505" t="s">
        <v>586</v>
      </c>
      <c r="H505" t="s">
        <v>35</v>
      </c>
      <c r="I505" t="s">
        <v>262</v>
      </c>
      <c r="J505" t="s">
        <v>687</v>
      </c>
      <c r="K505" t="str">
        <f>"2k19050044-dc"</f>
        <v>0</v>
      </c>
      <c r="L505">
        <v>810798</v>
      </c>
      <c r="M505"/>
      <c r="N505" t="s">
        <v>38</v>
      </c>
      <c r="O505" t="s">
        <v>38</v>
      </c>
      <c r="P505" t="s">
        <v>53</v>
      </c>
      <c r="Q505" t="s">
        <v>38</v>
      </c>
      <c r="R505" t="s">
        <v>38</v>
      </c>
      <c r="S505" t="s">
        <v>42</v>
      </c>
      <c r="T505" t="s">
        <v>42</v>
      </c>
      <c r="U505" t="s">
        <v>631</v>
      </c>
      <c r="V505" t="s">
        <v>44</v>
      </c>
      <c r="W505" t="s">
        <v>631</v>
      </c>
      <c r="X505" t="s">
        <v>45</v>
      </c>
      <c r="Y505" t="s">
        <v>656</v>
      </c>
      <c r="Z505" t="s">
        <v>47</v>
      </c>
      <c r="AA505"/>
      <c r="AB505"/>
      <c r="AC505"/>
      <c r="AD505"/>
    </row>
    <row r="506" spans="1:30">
      <c r="A506">
        <v>2110060077</v>
      </c>
      <c r="B506" t="s">
        <v>30</v>
      </c>
      <c r="C506" t="s">
        <v>31</v>
      </c>
      <c r="D506" t="s">
        <v>32</v>
      </c>
      <c r="E506" t="s">
        <v>118</v>
      </c>
      <c r="F506" t="s">
        <v>48</v>
      </c>
      <c r="G506" t="s">
        <v>334</v>
      </c>
      <c r="H506" t="s">
        <v>35</v>
      </c>
      <c r="I506" t="s">
        <v>688</v>
      </c>
      <c r="J506" t="s">
        <v>59</v>
      </c>
      <c r="K506" t="str">
        <f>"na"</f>
        <v>0</v>
      </c>
      <c r="L506">
        <v>370000</v>
      </c>
      <c r="M506"/>
      <c r="N506" t="s">
        <v>38</v>
      </c>
      <c r="O506" t="s">
        <v>38</v>
      </c>
      <c r="P506" t="s">
        <v>53</v>
      </c>
      <c r="Q506" t="s">
        <v>38</v>
      </c>
      <c r="R506" t="s">
        <v>38</v>
      </c>
      <c r="S506" t="s">
        <v>42</v>
      </c>
      <c r="T506" t="s">
        <v>42</v>
      </c>
      <c r="U506" t="s">
        <v>631</v>
      </c>
      <c r="V506" t="s">
        <v>636</v>
      </c>
      <c r="W506" t="s">
        <v>631</v>
      </c>
      <c r="X506" t="s">
        <v>45</v>
      </c>
      <c r="Y506" t="s">
        <v>637</v>
      </c>
      <c r="Z506" t="s">
        <v>47</v>
      </c>
      <c r="AA506"/>
      <c r="AB506"/>
      <c r="AC506"/>
      <c r="AD506" t="s">
        <v>638</v>
      </c>
    </row>
    <row r="507" spans="1:30">
      <c r="A507">
        <v>2110060104</v>
      </c>
      <c r="B507" t="s">
        <v>30</v>
      </c>
      <c r="C507" t="s">
        <v>31</v>
      </c>
      <c r="D507" t="s">
        <v>32</v>
      </c>
      <c r="E507" t="s">
        <v>182</v>
      </c>
      <c r="F507" t="s">
        <v>48</v>
      </c>
      <c r="G507" t="s">
        <v>334</v>
      </c>
      <c r="H507" t="s">
        <v>35</v>
      </c>
      <c r="I507" t="s">
        <v>689</v>
      </c>
      <c r="J507" t="s">
        <v>690</v>
      </c>
      <c r="K507" t="str">
        <f>"na"</f>
        <v>0</v>
      </c>
      <c r="L507">
        <v>370000</v>
      </c>
      <c r="M507"/>
      <c r="N507" t="s">
        <v>38</v>
      </c>
      <c r="O507" t="s">
        <v>38</v>
      </c>
      <c r="P507" t="s">
        <v>53</v>
      </c>
      <c r="Q507" t="s">
        <v>38</v>
      </c>
      <c r="R507" t="s">
        <v>38</v>
      </c>
      <c r="S507" t="s">
        <v>42</v>
      </c>
      <c r="T507" t="s">
        <v>42</v>
      </c>
      <c r="U507" t="s">
        <v>631</v>
      </c>
      <c r="V507" t="s">
        <v>636</v>
      </c>
      <c r="W507" t="s">
        <v>631</v>
      </c>
      <c r="X507" t="s">
        <v>45</v>
      </c>
      <c r="Y507" t="s">
        <v>637</v>
      </c>
      <c r="Z507" t="s">
        <v>47</v>
      </c>
      <c r="AA507"/>
      <c r="AB507"/>
      <c r="AC507"/>
      <c r="AD507" t="s">
        <v>691</v>
      </c>
    </row>
    <row r="508" spans="1:30">
      <c r="A508">
        <v>2110060107</v>
      </c>
      <c r="B508" t="s">
        <v>30</v>
      </c>
      <c r="C508" t="s">
        <v>31</v>
      </c>
      <c r="D508" t="s">
        <v>32</v>
      </c>
      <c r="E508" t="s">
        <v>182</v>
      </c>
      <c r="F508" t="s">
        <v>48</v>
      </c>
      <c r="G508" t="s">
        <v>692</v>
      </c>
      <c r="H508" t="s">
        <v>50</v>
      </c>
      <c r="I508" t="s">
        <v>91</v>
      </c>
      <c r="J508" t="s">
        <v>693</v>
      </c>
      <c r="K508" t="str">
        <f>"na"</f>
        <v>0</v>
      </c>
      <c r="L508">
        <v>91352</v>
      </c>
      <c r="M508"/>
      <c r="N508" t="s">
        <v>38</v>
      </c>
      <c r="O508" t="s">
        <v>38</v>
      </c>
      <c r="P508" t="s">
        <v>53</v>
      </c>
      <c r="Q508" t="s">
        <v>38</v>
      </c>
      <c r="R508" t="s">
        <v>38</v>
      </c>
      <c r="S508" t="s">
        <v>42</v>
      </c>
      <c r="T508" t="s">
        <v>42</v>
      </c>
      <c r="U508" t="s">
        <v>631</v>
      </c>
      <c r="V508" t="s">
        <v>636</v>
      </c>
      <c r="W508" t="s">
        <v>631</v>
      </c>
      <c r="X508" t="s">
        <v>45</v>
      </c>
      <c r="Y508" t="s">
        <v>637</v>
      </c>
      <c r="Z508" t="s">
        <v>47</v>
      </c>
      <c r="AA508"/>
      <c r="AB508"/>
      <c r="AC508"/>
      <c r="AD508" t="s">
        <v>691</v>
      </c>
    </row>
    <row r="509" spans="1:30">
      <c r="A509">
        <v>2110060083</v>
      </c>
      <c r="B509" t="s">
        <v>30</v>
      </c>
      <c r="C509" t="s">
        <v>31</v>
      </c>
      <c r="D509" t="s">
        <v>32</v>
      </c>
      <c r="E509" t="s">
        <v>118</v>
      </c>
      <c r="F509" t="s">
        <v>118</v>
      </c>
      <c r="G509" t="s">
        <v>692</v>
      </c>
      <c r="H509" t="s">
        <v>50</v>
      </c>
      <c r="I509" t="s">
        <v>173</v>
      </c>
      <c r="J509" t="s">
        <v>694</v>
      </c>
      <c r="K509" t="str">
        <f>"ZIAI03031"</f>
        <v>0</v>
      </c>
      <c r="L509">
        <v>130000</v>
      </c>
      <c r="M509"/>
      <c r="N509" t="s">
        <v>38</v>
      </c>
      <c r="O509" t="s">
        <v>38</v>
      </c>
      <c r="P509" t="s">
        <v>53</v>
      </c>
      <c r="Q509" t="s">
        <v>38</v>
      </c>
      <c r="R509" t="s">
        <v>38</v>
      </c>
      <c r="S509" t="s">
        <v>42</v>
      </c>
      <c r="T509" t="s">
        <v>42</v>
      </c>
      <c r="U509" t="s">
        <v>631</v>
      </c>
      <c r="V509" t="s">
        <v>636</v>
      </c>
      <c r="W509" t="s">
        <v>631</v>
      </c>
      <c r="X509" t="s">
        <v>45</v>
      </c>
      <c r="Y509" t="s">
        <v>637</v>
      </c>
      <c r="Z509" t="s">
        <v>47</v>
      </c>
      <c r="AA509"/>
      <c r="AB509"/>
      <c r="AC509"/>
      <c r="AD509" t="s">
        <v>638</v>
      </c>
    </row>
    <row r="510" spans="1:30">
      <c r="A510">
        <v>2110060082</v>
      </c>
      <c r="B510" t="s">
        <v>30</v>
      </c>
      <c r="C510" t="s">
        <v>31</v>
      </c>
      <c r="D510" t="s">
        <v>32</v>
      </c>
      <c r="E510" t="s">
        <v>118</v>
      </c>
      <c r="F510" t="s">
        <v>118</v>
      </c>
      <c r="G510" t="s">
        <v>692</v>
      </c>
      <c r="H510" t="s">
        <v>50</v>
      </c>
      <c r="I510" t="s">
        <v>173</v>
      </c>
      <c r="J510" t="s">
        <v>694</v>
      </c>
      <c r="K510" t="str">
        <f>"ZIAI01494"</f>
        <v>0</v>
      </c>
      <c r="L510">
        <v>130000</v>
      </c>
      <c r="M510"/>
      <c r="N510" t="s">
        <v>38</v>
      </c>
      <c r="O510" t="s">
        <v>38</v>
      </c>
      <c r="P510" t="s">
        <v>53</v>
      </c>
      <c r="Q510" t="s">
        <v>38</v>
      </c>
      <c r="R510" t="s">
        <v>38</v>
      </c>
      <c r="S510" t="s">
        <v>42</v>
      </c>
      <c r="T510" t="s">
        <v>42</v>
      </c>
      <c r="U510" t="s">
        <v>631</v>
      </c>
      <c r="V510" t="s">
        <v>636</v>
      </c>
      <c r="W510" t="s">
        <v>631</v>
      </c>
      <c r="X510" t="s">
        <v>45</v>
      </c>
      <c r="Y510" t="s">
        <v>637</v>
      </c>
      <c r="Z510" t="s">
        <v>47</v>
      </c>
      <c r="AA510"/>
      <c r="AB510"/>
      <c r="AC510"/>
      <c r="AD510" t="s">
        <v>638</v>
      </c>
    </row>
    <row r="511" spans="1:30">
      <c r="A511">
        <v>2110060095</v>
      </c>
      <c r="B511" t="s">
        <v>30</v>
      </c>
      <c r="C511" t="s">
        <v>31</v>
      </c>
      <c r="D511" t="s">
        <v>32</v>
      </c>
      <c r="E511" t="s">
        <v>118</v>
      </c>
      <c r="F511" t="s">
        <v>48</v>
      </c>
      <c r="G511" t="s">
        <v>274</v>
      </c>
      <c r="H511" t="s">
        <v>50</v>
      </c>
      <c r="I511" t="s">
        <v>695</v>
      </c>
      <c r="J511" t="s">
        <v>696</v>
      </c>
      <c r="K511" t="str">
        <f>"na"</f>
        <v>0</v>
      </c>
      <c r="L511">
        <v>130000</v>
      </c>
      <c r="M511"/>
      <c r="N511" t="s">
        <v>38</v>
      </c>
      <c r="O511" t="s">
        <v>38</v>
      </c>
      <c r="P511" t="s">
        <v>53</v>
      </c>
      <c r="Q511" t="s">
        <v>38</v>
      </c>
      <c r="R511" t="s">
        <v>38</v>
      </c>
      <c r="S511" t="s">
        <v>42</v>
      </c>
      <c r="T511" t="s">
        <v>42</v>
      </c>
      <c r="U511" t="s">
        <v>631</v>
      </c>
      <c r="V511" t="s">
        <v>636</v>
      </c>
      <c r="W511" t="s">
        <v>631</v>
      </c>
      <c r="X511" t="s">
        <v>45</v>
      </c>
      <c r="Y511" t="s">
        <v>637</v>
      </c>
      <c r="Z511" t="s">
        <v>47</v>
      </c>
      <c r="AA511"/>
      <c r="AB511"/>
      <c r="AC511"/>
      <c r="AD511" t="s">
        <v>638</v>
      </c>
    </row>
    <row r="512" spans="1:30">
      <c r="A512">
        <v>2110060091</v>
      </c>
      <c r="B512" t="s">
        <v>30</v>
      </c>
      <c r="C512" t="s">
        <v>31</v>
      </c>
      <c r="D512" t="s">
        <v>32</v>
      </c>
      <c r="E512" t="s">
        <v>118</v>
      </c>
      <c r="F512" t="s">
        <v>48</v>
      </c>
      <c r="G512" t="s">
        <v>274</v>
      </c>
      <c r="H512" t="s">
        <v>50</v>
      </c>
      <c r="I512" t="s">
        <v>173</v>
      </c>
      <c r="J512" t="s">
        <v>697</v>
      </c>
      <c r="K512" t="str">
        <f>"na"</f>
        <v>0</v>
      </c>
      <c r="L512">
        <v>102000</v>
      </c>
      <c r="M512"/>
      <c r="N512" t="s">
        <v>38</v>
      </c>
      <c r="O512" t="s">
        <v>38</v>
      </c>
      <c r="P512" t="s">
        <v>53</v>
      </c>
      <c r="Q512" t="s">
        <v>38</v>
      </c>
      <c r="R512" t="s">
        <v>38</v>
      </c>
      <c r="S512" t="s">
        <v>42</v>
      </c>
      <c r="T512" t="s">
        <v>42</v>
      </c>
      <c r="U512" t="s">
        <v>631</v>
      </c>
      <c r="V512" t="s">
        <v>636</v>
      </c>
      <c r="W512" t="s">
        <v>631</v>
      </c>
      <c r="X512" t="s">
        <v>45</v>
      </c>
      <c r="Y512" t="s">
        <v>637</v>
      </c>
      <c r="Z512" t="s">
        <v>47</v>
      </c>
      <c r="AA512"/>
      <c r="AB512"/>
      <c r="AC512"/>
      <c r="AD512" t="s">
        <v>638</v>
      </c>
    </row>
    <row r="513" spans="1:30">
      <c r="A513">
        <v>2110060231</v>
      </c>
      <c r="B513" t="s">
        <v>30</v>
      </c>
      <c r="C513" t="s">
        <v>31</v>
      </c>
      <c r="D513" t="s">
        <v>32</v>
      </c>
      <c r="E513" t="s">
        <v>188</v>
      </c>
      <c r="F513" t="s">
        <v>188</v>
      </c>
      <c r="G513" t="s">
        <v>242</v>
      </c>
      <c r="H513" t="s">
        <v>50</v>
      </c>
      <c r="I513" t="s">
        <v>698</v>
      </c>
      <c r="J513" t="s">
        <v>699</v>
      </c>
      <c r="K513" t="str">
        <f>"1075780316"</f>
        <v>0</v>
      </c>
      <c r="L513">
        <v>83000</v>
      </c>
      <c r="M513"/>
      <c r="N513" t="s">
        <v>38</v>
      </c>
      <c r="O513" t="s">
        <v>38</v>
      </c>
      <c r="P513" t="s">
        <v>53</v>
      </c>
      <c r="Q513" t="s">
        <v>38</v>
      </c>
      <c r="R513" t="s">
        <v>38</v>
      </c>
      <c r="S513" t="s">
        <v>42</v>
      </c>
      <c r="T513" t="s">
        <v>42</v>
      </c>
      <c r="U513" t="s">
        <v>631</v>
      </c>
      <c r="V513" t="s">
        <v>44</v>
      </c>
      <c r="W513" t="s">
        <v>631</v>
      </c>
      <c r="X513" t="s">
        <v>45</v>
      </c>
      <c r="Y513" t="s">
        <v>664</v>
      </c>
      <c r="Z513" t="s">
        <v>47</v>
      </c>
      <c r="AA513"/>
      <c r="AB513"/>
      <c r="AC513"/>
      <c r="AD513"/>
    </row>
    <row r="514" spans="1:30">
      <c r="A514">
        <v>2110060167</v>
      </c>
      <c r="B514" t="s">
        <v>30</v>
      </c>
      <c r="C514" t="s">
        <v>31</v>
      </c>
      <c r="D514" t="s">
        <v>32</v>
      </c>
      <c r="E514" t="s">
        <v>93</v>
      </c>
      <c r="F514" t="s">
        <v>94</v>
      </c>
      <c r="G514" t="s">
        <v>95</v>
      </c>
      <c r="H514" t="s">
        <v>35</v>
      </c>
      <c r="I514" t="s">
        <v>82</v>
      </c>
      <c r="J514" t="s">
        <v>686</v>
      </c>
      <c r="K514" t="str">
        <f>"14483"</f>
        <v>0</v>
      </c>
      <c r="L514">
        <v>69636</v>
      </c>
      <c r="M514"/>
      <c r="N514" t="s">
        <v>38</v>
      </c>
      <c r="O514" t="s">
        <v>38</v>
      </c>
      <c r="P514" t="s">
        <v>53</v>
      </c>
      <c r="Q514" t="s">
        <v>38</v>
      </c>
      <c r="R514" t="s">
        <v>38</v>
      </c>
      <c r="S514" t="s">
        <v>42</v>
      </c>
      <c r="T514" t="s">
        <v>42</v>
      </c>
      <c r="U514" t="s">
        <v>631</v>
      </c>
      <c r="V514" t="s">
        <v>44</v>
      </c>
      <c r="W514" t="s">
        <v>631</v>
      </c>
      <c r="X514" t="s">
        <v>45</v>
      </c>
      <c r="Y514" t="s">
        <v>653</v>
      </c>
      <c r="Z514" t="s">
        <v>47</v>
      </c>
      <c r="AA514"/>
      <c r="AB514"/>
      <c r="AC514"/>
      <c r="AD514"/>
    </row>
    <row r="515" spans="1:30">
      <c r="A515">
        <v>2110060169</v>
      </c>
      <c r="B515" t="s">
        <v>30</v>
      </c>
      <c r="C515" t="s">
        <v>31</v>
      </c>
      <c r="D515" t="s">
        <v>32</v>
      </c>
      <c r="E515" t="s">
        <v>93</v>
      </c>
      <c r="F515" t="s">
        <v>94</v>
      </c>
      <c r="G515" t="s">
        <v>95</v>
      </c>
      <c r="H515" t="s">
        <v>35</v>
      </c>
      <c r="I515" t="s">
        <v>82</v>
      </c>
      <c r="J515" t="s">
        <v>686</v>
      </c>
      <c r="K515" t="str">
        <f>"14501"</f>
        <v>0</v>
      </c>
      <c r="L515">
        <v>69636</v>
      </c>
      <c r="M515"/>
      <c r="N515" t="s">
        <v>38</v>
      </c>
      <c r="O515" t="s">
        <v>38</v>
      </c>
      <c r="P515" t="s">
        <v>53</v>
      </c>
      <c r="Q515" t="s">
        <v>38</v>
      </c>
      <c r="R515" t="s">
        <v>38</v>
      </c>
      <c r="S515" t="s">
        <v>42</v>
      </c>
      <c r="T515" t="s">
        <v>42</v>
      </c>
      <c r="U515" t="s">
        <v>631</v>
      </c>
      <c r="V515" t="s">
        <v>44</v>
      </c>
      <c r="W515" t="s">
        <v>631</v>
      </c>
      <c r="X515" t="s">
        <v>45</v>
      </c>
      <c r="Y515" t="s">
        <v>653</v>
      </c>
      <c r="Z515" t="s">
        <v>47</v>
      </c>
      <c r="AA515"/>
      <c r="AB515"/>
      <c r="AC515"/>
      <c r="AD515"/>
    </row>
    <row r="516" spans="1:30">
      <c r="A516">
        <v>2110060207</v>
      </c>
      <c r="B516" t="s">
        <v>30</v>
      </c>
      <c r="C516" t="s">
        <v>31</v>
      </c>
      <c r="D516" t="s">
        <v>32</v>
      </c>
      <c r="E516" t="s">
        <v>55</v>
      </c>
      <c r="F516" t="s">
        <v>147</v>
      </c>
      <c r="G516" t="s">
        <v>360</v>
      </c>
      <c r="H516" t="s">
        <v>35</v>
      </c>
      <c r="I516" t="s">
        <v>420</v>
      </c>
      <c r="J516" t="s">
        <v>700</v>
      </c>
      <c r="K516" t="str">
        <f>"48249481"</f>
        <v>0</v>
      </c>
      <c r="L516">
        <v>719000</v>
      </c>
      <c r="M516"/>
      <c r="N516" t="s">
        <v>38</v>
      </c>
      <c r="O516" t="s">
        <v>38</v>
      </c>
      <c r="P516" t="s">
        <v>53</v>
      </c>
      <c r="Q516" t="s">
        <v>38</v>
      </c>
      <c r="R516" t="s">
        <v>38</v>
      </c>
      <c r="S516" t="s">
        <v>42</v>
      </c>
      <c r="T516" t="s">
        <v>42</v>
      </c>
      <c r="U516" t="s">
        <v>631</v>
      </c>
      <c r="V516" t="s">
        <v>44</v>
      </c>
      <c r="W516" t="s">
        <v>631</v>
      </c>
      <c r="X516" t="s">
        <v>45</v>
      </c>
      <c r="Y516" t="s">
        <v>673</v>
      </c>
      <c r="Z516" t="s">
        <v>47</v>
      </c>
      <c r="AA516"/>
      <c r="AB516"/>
      <c r="AC516"/>
      <c r="AD516"/>
    </row>
    <row r="517" spans="1:30">
      <c r="A517">
        <v>2110060182</v>
      </c>
      <c r="B517" t="s">
        <v>30</v>
      </c>
      <c r="C517" t="s">
        <v>31</v>
      </c>
      <c r="D517" t="s">
        <v>32</v>
      </c>
      <c r="E517" t="s">
        <v>339</v>
      </c>
      <c r="F517" t="s">
        <v>340</v>
      </c>
      <c r="G517" t="s">
        <v>701</v>
      </c>
      <c r="H517" t="s">
        <v>50</v>
      </c>
      <c r="I517" t="s">
        <v>702</v>
      </c>
      <c r="J517" t="s">
        <v>703</v>
      </c>
      <c r="K517" t="str">
        <f>"na"</f>
        <v>0</v>
      </c>
      <c r="L517">
        <v>578571</v>
      </c>
      <c r="M517"/>
      <c r="N517" t="s">
        <v>38</v>
      </c>
      <c r="O517" t="s">
        <v>38</v>
      </c>
      <c r="P517" t="s">
        <v>53</v>
      </c>
      <c r="Q517" t="s">
        <v>38</v>
      </c>
      <c r="R517" t="s">
        <v>38</v>
      </c>
      <c r="S517" t="s">
        <v>42</v>
      </c>
      <c r="T517" t="s">
        <v>42</v>
      </c>
      <c r="U517" t="s">
        <v>631</v>
      </c>
      <c r="V517" t="s">
        <v>44</v>
      </c>
      <c r="W517" t="s">
        <v>631</v>
      </c>
      <c r="X517" t="s">
        <v>45</v>
      </c>
      <c r="Y517" t="s">
        <v>664</v>
      </c>
      <c r="Z517" t="s">
        <v>47</v>
      </c>
      <c r="AA517"/>
      <c r="AB517"/>
      <c r="AC517"/>
      <c r="AD517"/>
    </row>
    <row r="518" spans="1:30">
      <c r="A518">
        <v>2110060109</v>
      </c>
      <c r="B518" t="s">
        <v>30</v>
      </c>
      <c r="C518" t="s">
        <v>31</v>
      </c>
      <c r="D518" t="s">
        <v>32</v>
      </c>
      <c r="E518" t="s">
        <v>182</v>
      </c>
      <c r="F518" t="s">
        <v>56</v>
      </c>
      <c r="G518" t="s">
        <v>283</v>
      </c>
      <c r="H518" t="s">
        <v>50</v>
      </c>
      <c r="I518" t="s">
        <v>100</v>
      </c>
      <c r="J518" t="s">
        <v>315</v>
      </c>
      <c r="K518" t="str">
        <f>"na"</f>
        <v>0</v>
      </c>
      <c r="L518">
        <v>10000</v>
      </c>
      <c r="M518"/>
      <c r="N518" t="s">
        <v>38</v>
      </c>
      <c r="O518" t="s">
        <v>38</v>
      </c>
      <c r="P518" t="s">
        <v>53</v>
      </c>
      <c r="Q518" t="s">
        <v>38</v>
      </c>
      <c r="R518" t="s">
        <v>38</v>
      </c>
      <c r="S518" t="s">
        <v>42</v>
      </c>
      <c r="T518" t="s">
        <v>42</v>
      </c>
      <c r="U518" t="s">
        <v>631</v>
      </c>
      <c r="V518" t="s">
        <v>636</v>
      </c>
      <c r="W518" t="s">
        <v>631</v>
      </c>
      <c r="X518" t="s">
        <v>45</v>
      </c>
      <c r="Y518" t="s">
        <v>637</v>
      </c>
      <c r="Z518" t="s">
        <v>47</v>
      </c>
      <c r="AA518"/>
      <c r="AB518"/>
      <c r="AC518"/>
      <c r="AD518" t="s">
        <v>691</v>
      </c>
    </row>
    <row r="519" spans="1:30">
      <c r="A519">
        <v>2110060108</v>
      </c>
      <c r="B519" t="s">
        <v>30</v>
      </c>
      <c r="C519" t="s">
        <v>31</v>
      </c>
      <c r="D519" t="s">
        <v>32</v>
      </c>
      <c r="E519" t="s">
        <v>182</v>
      </c>
      <c r="F519" t="s">
        <v>118</v>
      </c>
      <c r="G519" t="s">
        <v>330</v>
      </c>
      <c r="H519" t="s">
        <v>35</v>
      </c>
      <c r="I519" t="s">
        <v>306</v>
      </c>
      <c r="J519" t="s">
        <v>704</v>
      </c>
      <c r="K519" t="str">
        <f>"Na"</f>
        <v>0</v>
      </c>
      <c r="L519">
        <v>550000</v>
      </c>
      <c r="M519"/>
      <c r="N519" t="s">
        <v>38</v>
      </c>
      <c r="O519" t="s">
        <v>38</v>
      </c>
      <c r="P519" t="s">
        <v>53</v>
      </c>
      <c r="Q519" t="s">
        <v>38</v>
      </c>
      <c r="R519" t="s">
        <v>38</v>
      </c>
      <c r="S519" t="s">
        <v>266</v>
      </c>
      <c r="T519" t="s">
        <v>266</v>
      </c>
      <c r="U519" t="s">
        <v>631</v>
      </c>
      <c r="V519" t="s">
        <v>636</v>
      </c>
      <c r="W519" t="s">
        <v>631</v>
      </c>
      <c r="X519" t="s">
        <v>45</v>
      </c>
      <c r="Y519" t="s">
        <v>637</v>
      </c>
      <c r="Z519" t="s">
        <v>70</v>
      </c>
      <c r="AA519"/>
      <c r="AB519"/>
      <c r="AC519"/>
      <c r="AD519" t="s">
        <v>705</v>
      </c>
    </row>
    <row r="520" spans="1:30">
      <c r="A520">
        <v>2110060087</v>
      </c>
      <c r="B520" t="s">
        <v>30</v>
      </c>
      <c r="C520" t="s">
        <v>31</v>
      </c>
      <c r="D520" t="s">
        <v>32</v>
      </c>
      <c r="E520" t="s">
        <v>118</v>
      </c>
      <c r="F520" t="s">
        <v>118</v>
      </c>
      <c r="G520" t="s">
        <v>332</v>
      </c>
      <c r="H520" t="s">
        <v>35</v>
      </c>
      <c r="I520" t="s">
        <v>173</v>
      </c>
      <c r="J520" t="s">
        <v>706</v>
      </c>
      <c r="K520" t="str">
        <f>"ZHFP19118"</f>
        <v>0</v>
      </c>
      <c r="L520">
        <v>265000</v>
      </c>
      <c r="M520"/>
      <c r="N520" t="s">
        <v>38</v>
      </c>
      <c r="O520" t="s">
        <v>38</v>
      </c>
      <c r="P520" t="s">
        <v>53</v>
      </c>
      <c r="Q520" t="s">
        <v>38</v>
      </c>
      <c r="R520" t="s">
        <v>38</v>
      </c>
      <c r="S520" t="s">
        <v>42</v>
      </c>
      <c r="T520" t="s">
        <v>42</v>
      </c>
      <c r="U520" t="s">
        <v>631</v>
      </c>
      <c r="V520" t="s">
        <v>636</v>
      </c>
      <c r="W520" t="s">
        <v>631</v>
      </c>
      <c r="X520" t="s">
        <v>45</v>
      </c>
      <c r="Y520" t="s">
        <v>637</v>
      </c>
      <c r="Z520" t="s">
        <v>47</v>
      </c>
      <c r="AA520"/>
      <c r="AB520"/>
      <c r="AC520"/>
      <c r="AD520" t="s">
        <v>638</v>
      </c>
    </row>
    <row r="521" spans="1:30">
      <c r="A521">
        <v>2110060111</v>
      </c>
      <c r="B521" t="s">
        <v>30</v>
      </c>
      <c r="C521" t="s">
        <v>31</v>
      </c>
      <c r="D521" t="s">
        <v>32</v>
      </c>
      <c r="E521" t="s">
        <v>182</v>
      </c>
      <c r="F521" t="s">
        <v>48</v>
      </c>
      <c r="G521" t="s">
        <v>280</v>
      </c>
      <c r="H521" t="s">
        <v>50</v>
      </c>
      <c r="I521" t="s">
        <v>258</v>
      </c>
      <c r="J521" t="s">
        <v>707</v>
      </c>
      <c r="K521" t="str">
        <f>"na"</f>
        <v>0</v>
      </c>
      <c r="L521">
        <v>105340</v>
      </c>
      <c r="M521"/>
      <c r="N521" t="s">
        <v>38</v>
      </c>
      <c r="O521" t="s">
        <v>38</v>
      </c>
      <c r="P521" t="s">
        <v>53</v>
      </c>
      <c r="Q521" t="s">
        <v>38</v>
      </c>
      <c r="R521" t="s">
        <v>38</v>
      </c>
      <c r="S521" t="s">
        <v>42</v>
      </c>
      <c r="T521" t="s">
        <v>42</v>
      </c>
      <c r="U521" t="s">
        <v>631</v>
      </c>
      <c r="V521" t="s">
        <v>636</v>
      </c>
      <c r="W521" t="s">
        <v>631</v>
      </c>
      <c r="X521" t="s">
        <v>45</v>
      </c>
      <c r="Y521" t="s">
        <v>637</v>
      </c>
      <c r="Z521" t="s">
        <v>47</v>
      </c>
      <c r="AA521"/>
      <c r="AB521"/>
      <c r="AC521"/>
      <c r="AD521" t="s">
        <v>691</v>
      </c>
    </row>
    <row r="522" spans="1:30">
      <c r="A522">
        <v>2110060110</v>
      </c>
      <c r="B522" t="s">
        <v>30</v>
      </c>
      <c r="C522" t="s">
        <v>31</v>
      </c>
      <c r="D522" t="s">
        <v>32</v>
      </c>
      <c r="E522" t="s">
        <v>182</v>
      </c>
      <c r="F522" t="s">
        <v>48</v>
      </c>
      <c r="G522" t="s">
        <v>280</v>
      </c>
      <c r="H522" t="s">
        <v>50</v>
      </c>
      <c r="I522" t="s">
        <v>254</v>
      </c>
      <c r="J522" t="s">
        <v>315</v>
      </c>
      <c r="K522" t="str">
        <f>"na"</f>
        <v>0</v>
      </c>
      <c r="L522">
        <v>105340</v>
      </c>
      <c r="M522"/>
      <c r="N522" t="s">
        <v>38</v>
      </c>
      <c r="O522" t="s">
        <v>38</v>
      </c>
      <c r="P522" t="s">
        <v>53</v>
      </c>
      <c r="Q522" t="s">
        <v>38</v>
      </c>
      <c r="R522" t="s">
        <v>38</v>
      </c>
      <c r="S522" t="s">
        <v>266</v>
      </c>
      <c r="T522" t="s">
        <v>266</v>
      </c>
      <c r="U522" t="s">
        <v>631</v>
      </c>
      <c r="V522" t="s">
        <v>636</v>
      </c>
      <c r="W522" t="s">
        <v>631</v>
      </c>
      <c r="X522" t="s">
        <v>45</v>
      </c>
      <c r="Y522" t="s">
        <v>637</v>
      </c>
      <c r="Z522" t="s">
        <v>70</v>
      </c>
      <c r="AA522"/>
      <c r="AB522"/>
      <c r="AC522"/>
      <c r="AD522" t="s">
        <v>68</v>
      </c>
    </row>
    <row r="523" spans="1:30">
      <c r="A523">
        <v>2110060075</v>
      </c>
      <c r="B523" t="s">
        <v>30</v>
      </c>
      <c r="C523" t="s">
        <v>31</v>
      </c>
      <c r="D523" t="s">
        <v>32</v>
      </c>
      <c r="E523" t="s">
        <v>118</v>
      </c>
      <c r="F523" t="s">
        <v>118</v>
      </c>
      <c r="G523" t="s">
        <v>657</v>
      </c>
      <c r="H523" t="s">
        <v>35</v>
      </c>
      <c r="I523" t="s">
        <v>173</v>
      </c>
      <c r="J523" t="s">
        <v>315</v>
      </c>
      <c r="K523" t="str">
        <f>"zeer 16695"</f>
        <v>0</v>
      </c>
      <c r="L523">
        <v>151272</v>
      </c>
      <c r="M523"/>
      <c r="N523" t="s">
        <v>38</v>
      </c>
      <c r="O523" t="s">
        <v>38</v>
      </c>
      <c r="P523" t="s">
        <v>53</v>
      </c>
      <c r="Q523" t="s">
        <v>38</v>
      </c>
      <c r="R523" t="s">
        <v>38</v>
      </c>
      <c r="S523" t="s">
        <v>42</v>
      </c>
      <c r="T523" t="s">
        <v>42</v>
      </c>
      <c r="U523" t="s">
        <v>631</v>
      </c>
      <c r="V523" t="s">
        <v>44</v>
      </c>
      <c r="W523" t="s">
        <v>631</v>
      </c>
      <c r="X523" t="s">
        <v>45</v>
      </c>
      <c r="Y523" t="s">
        <v>632</v>
      </c>
      <c r="Z523" t="s">
        <v>47</v>
      </c>
      <c r="AA523"/>
      <c r="AB523"/>
      <c r="AC523"/>
      <c r="AD523"/>
    </row>
    <row r="524" spans="1:30">
      <c r="A524">
        <v>2110060093</v>
      </c>
      <c r="B524" t="s">
        <v>30</v>
      </c>
      <c r="C524" t="s">
        <v>31</v>
      </c>
      <c r="D524" t="s">
        <v>32</v>
      </c>
      <c r="E524" t="s">
        <v>118</v>
      </c>
      <c r="F524" t="s">
        <v>48</v>
      </c>
      <c r="G524" t="s">
        <v>657</v>
      </c>
      <c r="H524" t="s">
        <v>35</v>
      </c>
      <c r="I524" t="s">
        <v>708</v>
      </c>
      <c r="J524" t="s">
        <v>709</v>
      </c>
      <c r="K524" t="str">
        <f>"na"</f>
        <v>0</v>
      </c>
      <c r="L524">
        <v>200000</v>
      </c>
      <c r="M524"/>
      <c r="N524" t="s">
        <v>38</v>
      </c>
      <c r="O524" t="s">
        <v>38</v>
      </c>
      <c r="P524" t="s">
        <v>53</v>
      </c>
      <c r="Q524" t="s">
        <v>38</v>
      </c>
      <c r="R524" t="s">
        <v>38</v>
      </c>
      <c r="S524" t="s">
        <v>42</v>
      </c>
      <c r="T524" t="s">
        <v>42</v>
      </c>
      <c r="U524" t="s">
        <v>631</v>
      </c>
      <c r="V524" t="s">
        <v>636</v>
      </c>
      <c r="W524" t="s">
        <v>631</v>
      </c>
      <c r="X524" t="s">
        <v>45</v>
      </c>
      <c r="Y524" t="s">
        <v>637</v>
      </c>
      <c r="Z524" t="s">
        <v>47</v>
      </c>
      <c r="AA524"/>
      <c r="AB524"/>
      <c r="AC524"/>
      <c r="AD524" t="s">
        <v>710</v>
      </c>
    </row>
    <row r="525" spans="1:30">
      <c r="A525">
        <v>2110060112</v>
      </c>
      <c r="B525" t="s">
        <v>30</v>
      </c>
      <c r="C525" t="s">
        <v>31</v>
      </c>
      <c r="D525" t="s">
        <v>32</v>
      </c>
      <c r="E525" t="s">
        <v>182</v>
      </c>
      <c r="F525" t="s">
        <v>48</v>
      </c>
      <c r="G525" t="s">
        <v>453</v>
      </c>
      <c r="H525" t="s">
        <v>50</v>
      </c>
      <c r="I525" t="s">
        <v>173</v>
      </c>
      <c r="J525" t="s">
        <v>711</v>
      </c>
      <c r="K525" t="str">
        <f>"na"</f>
        <v>0</v>
      </c>
      <c r="L525">
        <v>72000</v>
      </c>
      <c r="M525"/>
      <c r="N525" t="s">
        <v>38</v>
      </c>
      <c r="O525" t="s">
        <v>38</v>
      </c>
      <c r="P525" t="s">
        <v>53</v>
      </c>
      <c r="Q525" t="s">
        <v>38</v>
      </c>
      <c r="R525" t="s">
        <v>38</v>
      </c>
      <c r="S525" t="s">
        <v>42</v>
      </c>
      <c r="T525" t="s">
        <v>42</v>
      </c>
      <c r="U525" t="s">
        <v>631</v>
      </c>
      <c r="V525" t="s">
        <v>636</v>
      </c>
      <c r="W525" t="s">
        <v>631</v>
      </c>
      <c r="X525" t="s">
        <v>45</v>
      </c>
      <c r="Y525" t="s">
        <v>637</v>
      </c>
      <c r="Z525" t="s">
        <v>47</v>
      </c>
      <c r="AA525"/>
      <c r="AB525"/>
      <c r="AC525"/>
      <c r="AD525" t="s">
        <v>691</v>
      </c>
    </row>
    <row r="526" spans="1:30">
      <c r="A526">
        <v>2110060115</v>
      </c>
      <c r="B526" t="s">
        <v>30</v>
      </c>
      <c r="C526" t="s">
        <v>31</v>
      </c>
      <c r="D526" t="s">
        <v>32</v>
      </c>
      <c r="E526" t="s">
        <v>48</v>
      </c>
      <c r="F526" t="s">
        <v>48</v>
      </c>
      <c r="G526" t="s">
        <v>453</v>
      </c>
      <c r="H526" t="s">
        <v>50</v>
      </c>
      <c r="I526" t="s">
        <v>173</v>
      </c>
      <c r="J526" t="s">
        <v>711</v>
      </c>
      <c r="K526" t="str">
        <f>"ZIAC-00931"</f>
        <v>0</v>
      </c>
      <c r="L526">
        <v>72000</v>
      </c>
      <c r="M526"/>
      <c r="N526" t="s">
        <v>38</v>
      </c>
      <c r="O526" t="s">
        <v>38</v>
      </c>
      <c r="P526" t="s">
        <v>53</v>
      </c>
      <c r="Q526" t="s">
        <v>38</v>
      </c>
      <c r="R526" t="s">
        <v>38</v>
      </c>
      <c r="S526" t="s">
        <v>42</v>
      </c>
      <c r="T526" t="s">
        <v>42</v>
      </c>
      <c r="U526" t="s">
        <v>631</v>
      </c>
      <c r="V526" t="s">
        <v>636</v>
      </c>
      <c r="W526" t="s">
        <v>631</v>
      </c>
      <c r="X526" t="s">
        <v>45</v>
      </c>
      <c r="Y526" t="s">
        <v>637</v>
      </c>
      <c r="Z526" t="s">
        <v>47</v>
      </c>
      <c r="AA526"/>
      <c r="AB526"/>
      <c r="AC526"/>
      <c r="AD526" t="s">
        <v>638</v>
      </c>
    </row>
    <row r="527" spans="1:30">
      <c r="A527">
        <v>2110060105</v>
      </c>
      <c r="B527" t="s">
        <v>30</v>
      </c>
      <c r="C527" t="s">
        <v>31</v>
      </c>
      <c r="D527" t="s">
        <v>32</v>
      </c>
      <c r="E527" t="s">
        <v>182</v>
      </c>
      <c r="F527" t="s">
        <v>48</v>
      </c>
      <c r="G527" t="s">
        <v>712</v>
      </c>
      <c r="H527" t="s">
        <v>50</v>
      </c>
      <c r="I527" t="s">
        <v>713</v>
      </c>
      <c r="J527" t="s">
        <v>714</v>
      </c>
      <c r="K527" t="str">
        <f>"4889126"</f>
        <v>0</v>
      </c>
      <c r="L527">
        <v>24996</v>
      </c>
      <c r="M527"/>
      <c r="N527" t="s">
        <v>38</v>
      </c>
      <c r="O527" t="s">
        <v>38</v>
      </c>
      <c r="P527" t="s">
        <v>53</v>
      </c>
      <c r="Q527" t="s">
        <v>38</v>
      </c>
      <c r="R527" t="s">
        <v>38</v>
      </c>
      <c r="S527" t="s">
        <v>42</v>
      </c>
      <c r="T527" t="s">
        <v>42</v>
      </c>
      <c r="U527" t="s">
        <v>631</v>
      </c>
      <c r="V527" t="s">
        <v>44</v>
      </c>
      <c r="W527" t="s">
        <v>631</v>
      </c>
      <c r="X527" t="s">
        <v>45</v>
      </c>
      <c r="Y527" t="s">
        <v>653</v>
      </c>
      <c r="Z527" t="s">
        <v>47</v>
      </c>
      <c r="AA527"/>
      <c r="AB527"/>
      <c r="AC527"/>
      <c r="AD527"/>
    </row>
    <row r="528" spans="1:30">
      <c r="A528">
        <v>2110060081</v>
      </c>
      <c r="B528" t="s">
        <v>30</v>
      </c>
      <c r="C528" t="s">
        <v>31</v>
      </c>
      <c r="D528" t="s">
        <v>32</v>
      </c>
      <c r="E528" t="s">
        <v>118</v>
      </c>
      <c r="F528" t="s">
        <v>48</v>
      </c>
      <c r="G528" t="s">
        <v>431</v>
      </c>
      <c r="H528" t="s">
        <v>35</v>
      </c>
      <c r="I528" t="s">
        <v>594</v>
      </c>
      <c r="J528" t="s">
        <v>715</v>
      </c>
      <c r="K528" t="str">
        <f>"102ESOH17431"</f>
        <v>0</v>
      </c>
      <c r="L528">
        <v>247500</v>
      </c>
      <c r="M528"/>
      <c r="N528" t="s">
        <v>38</v>
      </c>
      <c r="O528" t="s">
        <v>38</v>
      </c>
      <c r="P528" t="s">
        <v>53</v>
      </c>
      <c r="Q528" t="s">
        <v>38</v>
      </c>
      <c r="R528" t="s">
        <v>38</v>
      </c>
      <c r="S528" t="s">
        <v>42</v>
      </c>
      <c r="T528" t="s">
        <v>42</v>
      </c>
      <c r="U528" t="s">
        <v>631</v>
      </c>
      <c r="V528" t="s">
        <v>636</v>
      </c>
      <c r="W528" t="s">
        <v>631</v>
      </c>
      <c r="X528" t="s">
        <v>45</v>
      </c>
      <c r="Y528" t="s">
        <v>637</v>
      </c>
      <c r="Z528" t="s">
        <v>47</v>
      </c>
      <c r="AA528"/>
      <c r="AB528"/>
      <c r="AC528"/>
      <c r="AD528" t="s">
        <v>638</v>
      </c>
    </row>
    <row r="529" spans="1:30">
      <c r="A529">
        <v>2110060178</v>
      </c>
      <c r="B529" t="s">
        <v>30</v>
      </c>
      <c r="C529" t="s">
        <v>31</v>
      </c>
      <c r="D529" t="s">
        <v>32</v>
      </c>
      <c r="E529" t="s">
        <v>93</v>
      </c>
      <c r="F529" t="s">
        <v>286</v>
      </c>
      <c r="G529" t="s">
        <v>287</v>
      </c>
      <c r="H529" t="s">
        <v>35</v>
      </c>
      <c r="I529" t="s">
        <v>375</v>
      </c>
      <c r="J529" t="s">
        <v>59</v>
      </c>
      <c r="K529" t="str">
        <f>"na"</f>
        <v>0</v>
      </c>
      <c r="L529">
        <v>35000</v>
      </c>
      <c r="M529"/>
      <c r="N529" t="s">
        <v>38</v>
      </c>
      <c r="O529" t="s">
        <v>38</v>
      </c>
      <c r="P529" t="s">
        <v>53</v>
      </c>
      <c r="Q529" t="s">
        <v>38</v>
      </c>
      <c r="R529" t="s">
        <v>38</v>
      </c>
      <c r="S529" t="s">
        <v>42</v>
      </c>
      <c r="T529" t="s">
        <v>42</v>
      </c>
      <c r="U529" t="s">
        <v>631</v>
      </c>
      <c r="V529" t="s">
        <v>44</v>
      </c>
      <c r="W529" t="s">
        <v>631</v>
      </c>
      <c r="X529" t="s">
        <v>45</v>
      </c>
      <c r="Y529" t="s">
        <v>653</v>
      </c>
      <c r="Z529" t="s">
        <v>47</v>
      </c>
      <c r="AA529"/>
      <c r="AB529"/>
      <c r="AC529"/>
      <c r="AD529"/>
    </row>
    <row r="530" spans="1:30">
      <c r="A530">
        <v>2110060176</v>
      </c>
      <c r="B530" t="s">
        <v>30</v>
      </c>
      <c r="C530" t="s">
        <v>31</v>
      </c>
      <c r="D530" t="s">
        <v>32</v>
      </c>
      <c r="E530" t="s">
        <v>93</v>
      </c>
      <c r="F530" t="s">
        <v>286</v>
      </c>
      <c r="G530" t="s">
        <v>287</v>
      </c>
      <c r="H530" t="s">
        <v>35</v>
      </c>
      <c r="I530" t="s">
        <v>82</v>
      </c>
      <c r="J530" t="s">
        <v>59</v>
      </c>
      <c r="K530" t="str">
        <f>"na"</f>
        <v>0</v>
      </c>
      <c r="L530">
        <v>67950</v>
      </c>
      <c r="M530"/>
      <c r="N530" t="s">
        <v>38</v>
      </c>
      <c r="O530" t="s">
        <v>38</v>
      </c>
      <c r="P530" t="s">
        <v>53</v>
      </c>
      <c r="Q530" t="s">
        <v>38</v>
      </c>
      <c r="R530" t="s">
        <v>38</v>
      </c>
      <c r="S530" t="s">
        <v>42</v>
      </c>
      <c r="T530" t="s">
        <v>42</v>
      </c>
      <c r="U530" t="s">
        <v>631</v>
      </c>
      <c r="V530" t="s">
        <v>44</v>
      </c>
      <c r="W530" t="s">
        <v>631</v>
      </c>
      <c r="X530" t="s">
        <v>45</v>
      </c>
      <c r="Y530" t="s">
        <v>653</v>
      </c>
      <c r="Z530" t="s">
        <v>47</v>
      </c>
      <c r="AA530"/>
      <c r="AB530"/>
      <c r="AC530"/>
      <c r="AD530"/>
    </row>
    <row r="531" spans="1:30">
      <c r="A531">
        <v>2110060177</v>
      </c>
      <c r="B531" t="s">
        <v>30</v>
      </c>
      <c r="C531" t="s">
        <v>31</v>
      </c>
      <c r="D531" t="s">
        <v>32</v>
      </c>
      <c r="E531" t="s">
        <v>93</v>
      </c>
      <c r="F531" t="s">
        <v>286</v>
      </c>
      <c r="G531" t="s">
        <v>287</v>
      </c>
      <c r="H531" t="s">
        <v>35</v>
      </c>
      <c r="I531" t="s">
        <v>82</v>
      </c>
      <c r="J531" t="s">
        <v>716</v>
      </c>
      <c r="K531" t="str">
        <f>"tp 1057"</f>
        <v>0</v>
      </c>
      <c r="L531">
        <v>67950</v>
      </c>
      <c r="M531"/>
      <c r="N531" t="s">
        <v>38</v>
      </c>
      <c r="O531" t="s">
        <v>38</v>
      </c>
      <c r="P531" t="s">
        <v>53</v>
      </c>
      <c r="Q531" t="s">
        <v>38</v>
      </c>
      <c r="R531" t="s">
        <v>38</v>
      </c>
      <c r="S531" t="s">
        <v>42</v>
      </c>
      <c r="T531" t="s">
        <v>42</v>
      </c>
      <c r="U531" t="s">
        <v>631</v>
      </c>
      <c r="V531" t="s">
        <v>44</v>
      </c>
      <c r="W531" t="s">
        <v>631</v>
      </c>
      <c r="X531" t="s">
        <v>45</v>
      </c>
      <c r="Y531" t="s">
        <v>653</v>
      </c>
      <c r="Z531" t="s">
        <v>47</v>
      </c>
      <c r="AA531"/>
      <c r="AB531"/>
      <c r="AC531"/>
      <c r="AD531"/>
    </row>
    <row r="532" spans="1:30">
      <c r="A532">
        <v>2110060179</v>
      </c>
      <c r="B532" t="s">
        <v>30</v>
      </c>
      <c r="C532" t="s">
        <v>31</v>
      </c>
      <c r="D532" t="s">
        <v>32</v>
      </c>
      <c r="E532" t="s">
        <v>93</v>
      </c>
      <c r="F532" t="s">
        <v>286</v>
      </c>
      <c r="G532" t="s">
        <v>287</v>
      </c>
      <c r="H532" t="s">
        <v>35</v>
      </c>
      <c r="I532" t="s">
        <v>82</v>
      </c>
      <c r="J532" t="s">
        <v>59</v>
      </c>
      <c r="K532" t="str">
        <f>"na"</f>
        <v>0</v>
      </c>
      <c r="L532">
        <v>67950</v>
      </c>
      <c r="M532"/>
      <c r="N532" t="s">
        <v>38</v>
      </c>
      <c r="O532" t="s">
        <v>38</v>
      </c>
      <c r="P532" t="s">
        <v>53</v>
      </c>
      <c r="Q532" t="s">
        <v>38</v>
      </c>
      <c r="R532" t="s">
        <v>38</v>
      </c>
      <c r="S532" t="s">
        <v>42</v>
      </c>
      <c r="T532" t="s">
        <v>42</v>
      </c>
      <c r="U532" t="s">
        <v>631</v>
      </c>
      <c r="V532" t="s">
        <v>44</v>
      </c>
      <c r="W532" t="s">
        <v>631</v>
      </c>
      <c r="X532" t="s">
        <v>45</v>
      </c>
      <c r="Y532" t="s">
        <v>653</v>
      </c>
      <c r="Z532" t="s">
        <v>47</v>
      </c>
      <c r="AA532"/>
      <c r="AB532"/>
      <c r="AC532"/>
      <c r="AD532"/>
    </row>
    <row r="533" spans="1:30">
      <c r="A533">
        <v>3110110014</v>
      </c>
      <c r="B533" t="s">
        <v>30</v>
      </c>
      <c r="C533" t="s">
        <v>61</v>
      </c>
      <c r="D533" t="s">
        <v>62</v>
      </c>
      <c r="E533" t="s">
        <v>33</v>
      </c>
      <c r="F533" t="s">
        <v>33</v>
      </c>
      <c r="G533" t="s">
        <v>717</v>
      </c>
      <c r="H533" t="s">
        <v>35</v>
      </c>
      <c r="I533" t="s">
        <v>262</v>
      </c>
      <c r="J533" t="s">
        <v>718</v>
      </c>
      <c r="K533" t="str">
        <f>"010130328"</f>
        <v>0</v>
      </c>
      <c r="L533">
        <v>314000</v>
      </c>
      <c r="M533"/>
      <c r="N533" t="s">
        <v>38</v>
      </c>
      <c r="O533" t="s">
        <v>38</v>
      </c>
      <c r="P533" t="s">
        <v>53</v>
      </c>
      <c r="Q533" t="s">
        <v>38</v>
      </c>
      <c r="R533" t="s">
        <v>38</v>
      </c>
      <c r="S533" t="s">
        <v>42</v>
      </c>
      <c r="T533" t="s">
        <v>42</v>
      </c>
      <c r="U533" t="s">
        <v>719</v>
      </c>
      <c r="V533" t="s">
        <v>44</v>
      </c>
      <c r="W533" t="s">
        <v>719</v>
      </c>
      <c r="X533" t="s">
        <v>45</v>
      </c>
      <c r="Y533" t="s">
        <v>720</v>
      </c>
      <c r="Z533" t="s">
        <v>47</v>
      </c>
      <c r="AA533"/>
      <c r="AB533"/>
      <c r="AC533"/>
      <c r="AD533"/>
    </row>
    <row r="534" spans="1:30">
      <c r="A534">
        <v>3110110013</v>
      </c>
      <c r="B534" t="s">
        <v>30</v>
      </c>
      <c r="C534" t="s">
        <v>61</v>
      </c>
      <c r="D534" t="s">
        <v>62</v>
      </c>
      <c r="E534" t="s">
        <v>33</v>
      </c>
      <c r="F534" t="s">
        <v>33</v>
      </c>
      <c r="G534" t="s">
        <v>717</v>
      </c>
      <c r="H534" t="s">
        <v>50</v>
      </c>
      <c r="I534" t="s">
        <v>721</v>
      </c>
      <c r="J534" t="s">
        <v>722</v>
      </c>
      <c r="K534" t="str">
        <f>"3203/9/03"</f>
        <v>0</v>
      </c>
      <c r="L534">
        <v>602000</v>
      </c>
      <c r="M534"/>
      <c r="N534" t="s">
        <v>38</v>
      </c>
      <c r="O534" t="s">
        <v>38</v>
      </c>
      <c r="P534" t="s">
        <v>53</v>
      </c>
      <c r="Q534" t="s">
        <v>38</v>
      </c>
      <c r="R534" t="s">
        <v>38</v>
      </c>
      <c r="S534" t="s">
        <v>42</v>
      </c>
      <c r="T534" t="s">
        <v>42</v>
      </c>
      <c r="U534" t="s">
        <v>719</v>
      </c>
      <c r="V534" t="s">
        <v>44</v>
      </c>
      <c r="W534" t="s">
        <v>719</v>
      </c>
      <c r="X534" t="s">
        <v>45</v>
      </c>
      <c r="Y534" t="s">
        <v>720</v>
      </c>
      <c r="Z534" t="s">
        <v>47</v>
      </c>
      <c r="AA534"/>
      <c r="AB534"/>
      <c r="AC534"/>
      <c r="AD534"/>
    </row>
    <row r="535" spans="1:30">
      <c r="A535">
        <v>2110060145</v>
      </c>
      <c r="B535" t="s">
        <v>30</v>
      </c>
      <c r="C535" t="s">
        <v>31</v>
      </c>
      <c r="D535" t="s">
        <v>32</v>
      </c>
      <c r="E535" t="s">
        <v>151</v>
      </c>
      <c r="F535" t="s">
        <v>152</v>
      </c>
      <c r="G535" t="s">
        <v>723</v>
      </c>
      <c r="H535" t="s">
        <v>50</v>
      </c>
      <c r="I535" t="s">
        <v>461</v>
      </c>
      <c r="J535" t="s">
        <v>724</v>
      </c>
      <c r="K535" t="str">
        <f>"na"</f>
        <v>0</v>
      </c>
      <c r="L535">
        <v>125000</v>
      </c>
      <c r="M535"/>
      <c r="N535" t="s">
        <v>38</v>
      </c>
      <c r="O535" t="s">
        <v>38</v>
      </c>
      <c r="P535" t="s">
        <v>53</v>
      </c>
      <c r="Q535" t="s">
        <v>38</v>
      </c>
      <c r="R535" t="s">
        <v>38</v>
      </c>
      <c r="S535" t="s">
        <v>42</v>
      </c>
      <c r="T535" t="s">
        <v>42</v>
      </c>
      <c r="U535" t="s">
        <v>719</v>
      </c>
      <c r="V535" t="s">
        <v>44</v>
      </c>
      <c r="W535" t="s">
        <v>719</v>
      </c>
      <c r="X535" t="s">
        <v>45</v>
      </c>
      <c r="Y535" t="s">
        <v>653</v>
      </c>
      <c r="Z535" t="s">
        <v>47</v>
      </c>
      <c r="AA535"/>
      <c r="AB535"/>
      <c r="AC535"/>
      <c r="AD535"/>
    </row>
    <row r="536" spans="1:30">
      <c r="A536">
        <v>3110110015</v>
      </c>
      <c r="B536" t="s">
        <v>30</v>
      </c>
      <c r="C536" t="s">
        <v>61</v>
      </c>
      <c r="D536" t="s">
        <v>62</v>
      </c>
      <c r="E536" t="s">
        <v>135</v>
      </c>
      <c r="F536" t="s">
        <v>147</v>
      </c>
      <c r="G536" t="s">
        <v>148</v>
      </c>
      <c r="H536" t="s">
        <v>35</v>
      </c>
      <c r="I536" t="s">
        <v>149</v>
      </c>
      <c r="J536" t="s">
        <v>265</v>
      </c>
      <c r="K536" t="str">
        <f>"v301A1911025"</f>
        <v>0</v>
      </c>
      <c r="L536">
        <v>47952</v>
      </c>
      <c r="M536"/>
      <c r="N536" t="s">
        <v>38</v>
      </c>
      <c r="O536" t="s">
        <v>38</v>
      </c>
      <c r="P536" t="s">
        <v>53</v>
      </c>
      <c r="Q536" t="s">
        <v>38</v>
      </c>
      <c r="R536" t="s">
        <v>38</v>
      </c>
      <c r="S536" t="s">
        <v>42</v>
      </c>
      <c r="T536" t="s">
        <v>42</v>
      </c>
      <c r="U536" t="s">
        <v>719</v>
      </c>
      <c r="V536" t="s">
        <v>44</v>
      </c>
      <c r="W536" t="s">
        <v>719</v>
      </c>
      <c r="X536" t="s">
        <v>45</v>
      </c>
      <c r="Y536" t="s">
        <v>725</v>
      </c>
      <c r="Z536" t="s">
        <v>47</v>
      </c>
      <c r="AA536"/>
      <c r="AB536"/>
      <c r="AC536"/>
      <c r="AD536"/>
    </row>
    <row r="537" spans="1:30">
      <c r="A537">
        <v>2110060098</v>
      </c>
      <c r="B537" t="s">
        <v>30</v>
      </c>
      <c r="C537" t="s">
        <v>31</v>
      </c>
      <c r="D537" t="s">
        <v>32</v>
      </c>
      <c r="E537" t="s">
        <v>118</v>
      </c>
      <c r="F537" t="s">
        <v>48</v>
      </c>
      <c r="G537" t="s">
        <v>158</v>
      </c>
      <c r="H537" t="s">
        <v>50</v>
      </c>
      <c r="I537" t="s">
        <v>621</v>
      </c>
      <c r="J537" t="s">
        <v>726</v>
      </c>
      <c r="K537" t="str">
        <f>"130076"</f>
        <v>0</v>
      </c>
      <c r="L537">
        <v>246225</v>
      </c>
      <c r="M537"/>
      <c r="N537" t="s">
        <v>38</v>
      </c>
      <c r="O537" t="s">
        <v>38</v>
      </c>
      <c r="P537" t="s">
        <v>53</v>
      </c>
      <c r="Q537" t="s">
        <v>38</v>
      </c>
      <c r="R537" t="s">
        <v>38</v>
      </c>
      <c r="S537" t="s">
        <v>42</v>
      </c>
      <c r="T537" t="s">
        <v>42</v>
      </c>
      <c r="U537" t="s">
        <v>719</v>
      </c>
      <c r="V537" t="s">
        <v>636</v>
      </c>
      <c r="W537" t="s">
        <v>719</v>
      </c>
      <c r="X537" t="s">
        <v>45</v>
      </c>
      <c r="Y537" t="s">
        <v>637</v>
      </c>
      <c r="Z537" t="s">
        <v>47</v>
      </c>
      <c r="AA537"/>
      <c r="AB537"/>
      <c r="AC537"/>
      <c r="AD537" t="s">
        <v>638</v>
      </c>
    </row>
    <row r="538" spans="1:30">
      <c r="A538">
        <v>2110060101</v>
      </c>
      <c r="B538" t="s">
        <v>30</v>
      </c>
      <c r="C538" t="s">
        <v>31</v>
      </c>
      <c r="D538" t="s">
        <v>32</v>
      </c>
      <c r="E538" t="s">
        <v>182</v>
      </c>
      <c r="F538" t="s">
        <v>48</v>
      </c>
      <c r="G538" t="s">
        <v>158</v>
      </c>
      <c r="H538" t="s">
        <v>50</v>
      </c>
      <c r="I538" t="s">
        <v>621</v>
      </c>
      <c r="J538" t="s">
        <v>727</v>
      </c>
      <c r="K538" t="str">
        <f>"na"</f>
        <v>0</v>
      </c>
      <c r="L538">
        <v>246225</v>
      </c>
      <c r="M538"/>
      <c r="N538" t="s">
        <v>38</v>
      </c>
      <c r="O538" t="s">
        <v>38</v>
      </c>
      <c r="P538" t="s">
        <v>53</v>
      </c>
      <c r="Q538" t="s">
        <v>38</v>
      </c>
      <c r="R538" t="s">
        <v>38</v>
      </c>
      <c r="S538" t="s">
        <v>42</v>
      </c>
      <c r="T538" t="s">
        <v>42</v>
      </c>
      <c r="U538" t="s">
        <v>719</v>
      </c>
      <c r="V538" t="s">
        <v>636</v>
      </c>
      <c r="W538" t="s">
        <v>719</v>
      </c>
      <c r="X538" t="s">
        <v>45</v>
      </c>
      <c r="Y538" t="s">
        <v>637</v>
      </c>
      <c r="Z538" t="s">
        <v>47</v>
      </c>
      <c r="AA538"/>
      <c r="AB538"/>
      <c r="AC538"/>
      <c r="AD538" t="s">
        <v>691</v>
      </c>
    </row>
    <row r="539" spans="1:30">
      <c r="A539">
        <v>2110060188</v>
      </c>
      <c r="B539" t="s">
        <v>30</v>
      </c>
      <c r="C539" t="s">
        <v>31</v>
      </c>
      <c r="D539" t="s">
        <v>32</v>
      </c>
      <c r="E539" t="s">
        <v>339</v>
      </c>
      <c r="F539" t="s">
        <v>340</v>
      </c>
      <c r="G539" t="s">
        <v>728</v>
      </c>
      <c r="H539" t="s">
        <v>50</v>
      </c>
      <c r="I539" t="s">
        <v>729</v>
      </c>
      <c r="J539" t="s">
        <v>730</v>
      </c>
      <c r="K539" t="str">
        <f>"211276"</f>
        <v>0</v>
      </c>
      <c r="L539">
        <v>303570</v>
      </c>
      <c r="M539"/>
      <c r="N539" t="s">
        <v>38</v>
      </c>
      <c r="O539" t="s">
        <v>38</v>
      </c>
      <c r="P539" t="s">
        <v>53</v>
      </c>
      <c r="Q539" t="s">
        <v>38</v>
      </c>
      <c r="R539" t="s">
        <v>38</v>
      </c>
      <c r="S539" t="s">
        <v>42</v>
      </c>
      <c r="T539" t="s">
        <v>42</v>
      </c>
      <c r="U539" t="s">
        <v>719</v>
      </c>
      <c r="V539" t="s">
        <v>44</v>
      </c>
      <c r="W539" t="s">
        <v>719</v>
      </c>
      <c r="X539" t="s">
        <v>45</v>
      </c>
      <c r="Y539" t="s">
        <v>731</v>
      </c>
      <c r="Z539" t="s">
        <v>47</v>
      </c>
      <c r="AA539"/>
      <c r="AB539"/>
      <c r="AC539"/>
      <c r="AD539"/>
    </row>
    <row r="540" spans="1:30">
      <c r="A540">
        <v>3110110119</v>
      </c>
      <c r="B540" t="s">
        <v>30</v>
      </c>
      <c r="C540" t="s">
        <v>61</v>
      </c>
      <c r="D540" t="s">
        <v>62</v>
      </c>
      <c r="E540" t="s">
        <v>339</v>
      </c>
      <c r="F540" t="s">
        <v>340</v>
      </c>
      <c r="G540" t="s">
        <v>728</v>
      </c>
      <c r="H540" t="s">
        <v>50</v>
      </c>
      <c r="I540" t="s">
        <v>729</v>
      </c>
      <c r="J540" t="s">
        <v>732</v>
      </c>
      <c r="K540" t="str">
        <f>"210073"</f>
        <v>0</v>
      </c>
      <c r="L540">
        <v>303570</v>
      </c>
      <c r="M540"/>
      <c r="N540" t="s">
        <v>38</v>
      </c>
      <c r="O540" t="s">
        <v>38</v>
      </c>
      <c r="P540" t="s">
        <v>53</v>
      </c>
      <c r="Q540" t="s">
        <v>38</v>
      </c>
      <c r="R540" t="s">
        <v>38</v>
      </c>
      <c r="S540" t="s">
        <v>42</v>
      </c>
      <c r="T540" t="s">
        <v>42</v>
      </c>
      <c r="U540" t="s">
        <v>719</v>
      </c>
      <c r="V540" t="s">
        <v>44</v>
      </c>
      <c r="W540" t="s">
        <v>719</v>
      </c>
      <c r="X540" t="s">
        <v>45</v>
      </c>
      <c r="Y540" t="s">
        <v>733</v>
      </c>
      <c r="Z540" t="s">
        <v>47</v>
      </c>
      <c r="AA540"/>
      <c r="AB540"/>
      <c r="AC540"/>
      <c r="AD540"/>
    </row>
    <row r="541" spans="1:30">
      <c r="A541">
        <v>2110060185</v>
      </c>
      <c r="B541" t="s">
        <v>30</v>
      </c>
      <c r="C541" t="s">
        <v>31</v>
      </c>
      <c r="D541" t="s">
        <v>32</v>
      </c>
      <c r="E541" t="s">
        <v>339</v>
      </c>
      <c r="F541" t="s">
        <v>340</v>
      </c>
      <c r="G541" t="s">
        <v>734</v>
      </c>
      <c r="H541" t="s">
        <v>50</v>
      </c>
      <c r="I541" t="s">
        <v>735</v>
      </c>
      <c r="J541" t="s">
        <v>736</v>
      </c>
      <c r="K541" t="str">
        <f>"k7kbb5b"</f>
        <v>0</v>
      </c>
      <c r="L541">
        <v>189000</v>
      </c>
      <c r="M541"/>
      <c r="N541" t="s">
        <v>38</v>
      </c>
      <c r="O541" t="s">
        <v>38</v>
      </c>
      <c r="P541" t="s">
        <v>53</v>
      </c>
      <c r="Q541" t="s">
        <v>38</v>
      </c>
      <c r="R541" t="s">
        <v>38</v>
      </c>
      <c r="S541" t="s">
        <v>42</v>
      </c>
      <c r="T541" t="s">
        <v>42</v>
      </c>
      <c r="U541" t="s">
        <v>719</v>
      </c>
      <c r="V541" t="s">
        <v>44</v>
      </c>
      <c r="W541" t="s">
        <v>719</v>
      </c>
      <c r="X541" t="s">
        <v>45</v>
      </c>
      <c r="Y541" t="s">
        <v>731</v>
      </c>
      <c r="Z541" t="s">
        <v>47</v>
      </c>
      <c r="AA541"/>
      <c r="AB541"/>
      <c r="AC541"/>
      <c r="AD541"/>
    </row>
    <row r="542" spans="1:30">
      <c r="A542">
        <v>3110110120</v>
      </c>
      <c r="B542" t="s">
        <v>30</v>
      </c>
      <c r="C542" t="s">
        <v>61</v>
      </c>
      <c r="D542" t="s">
        <v>62</v>
      </c>
      <c r="E542" t="s">
        <v>339</v>
      </c>
      <c r="F542" t="s">
        <v>340</v>
      </c>
      <c r="G542" t="s">
        <v>734</v>
      </c>
      <c r="H542" t="s">
        <v>50</v>
      </c>
      <c r="I542" t="s">
        <v>737</v>
      </c>
      <c r="J542" t="s">
        <v>738</v>
      </c>
      <c r="K542" t="str">
        <f>"8HA08A18L0019"</f>
        <v>0</v>
      </c>
      <c r="L542">
        <v>449000</v>
      </c>
      <c r="M542"/>
      <c r="N542" t="s">
        <v>38</v>
      </c>
      <c r="O542" t="s">
        <v>38</v>
      </c>
      <c r="P542" t="s">
        <v>53</v>
      </c>
      <c r="Q542" t="s">
        <v>38</v>
      </c>
      <c r="R542" t="s">
        <v>38</v>
      </c>
      <c r="S542" t="s">
        <v>42</v>
      </c>
      <c r="T542" t="s">
        <v>42</v>
      </c>
      <c r="U542" t="s">
        <v>719</v>
      </c>
      <c r="V542" t="s">
        <v>44</v>
      </c>
      <c r="W542" t="s">
        <v>719</v>
      </c>
      <c r="X542" t="s">
        <v>45</v>
      </c>
      <c r="Y542" t="s">
        <v>733</v>
      </c>
      <c r="Z542" t="s">
        <v>47</v>
      </c>
      <c r="AA542"/>
      <c r="AB542"/>
      <c r="AC542"/>
      <c r="AD542"/>
    </row>
    <row r="543" spans="1:30">
      <c r="A543">
        <v>2110060189</v>
      </c>
      <c r="B543" t="s">
        <v>30</v>
      </c>
      <c r="C543" t="s">
        <v>31</v>
      </c>
      <c r="D543" t="s">
        <v>32</v>
      </c>
      <c r="E543" t="s">
        <v>339</v>
      </c>
      <c r="F543" t="s">
        <v>340</v>
      </c>
      <c r="G543" t="s">
        <v>739</v>
      </c>
      <c r="H543" t="s">
        <v>50</v>
      </c>
      <c r="I543" t="s">
        <v>740</v>
      </c>
      <c r="J543" t="s">
        <v>741</v>
      </c>
      <c r="K543" t="str">
        <f>"391485k"</f>
        <v>0</v>
      </c>
      <c r="L543">
        <v>175000</v>
      </c>
      <c r="M543"/>
      <c r="N543" t="s">
        <v>38</v>
      </c>
      <c r="O543" t="s">
        <v>38</v>
      </c>
      <c r="P543" t="s">
        <v>53</v>
      </c>
      <c r="Q543" t="s">
        <v>38</v>
      </c>
      <c r="R543" t="s">
        <v>38</v>
      </c>
      <c r="S543" t="s">
        <v>42</v>
      </c>
      <c r="T543" t="s">
        <v>42</v>
      </c>
      <c r="U543" t="s">
        <v>719</v>
      </c>
      <c r="V543" t="s">
        <v>44</v>
      </c>
      <c r="W543" t="s">
        <v>719</v>
      </c>
      <c r="X543" t="s">
        <v>45</v>
      </c>
      <c r="Y543" t="s">
        <v>731</v>
      </c>
      <c r="Z543" t="s">
        <v>47</v>
      </c>
      <c r="AA543"/>
      <c r="AB543"/>
      <c r="AC543"/>
      <c r="AD543"/>
    </row>
    <row r="544" spans="1:30">
      <c r="A544">
        <v>3110110121</v>
      </c>
      <c r="B544" t="s">
        <v>30</v>
      </c>
      <c r="C544" t="s">
        <v>61</v>
      </c>
      <c r="D544" t="s">
        <v>62</v>
      </c>
      <c r="E544" t="s">
        <v>339</v>
      </c>
      <c r="F544" t="s">
        <v>340</v>
      </c>
      <c r="G544" t="s">
        <v>739</v>
      </c>
      <c r="H544" t="s">
        <v>50</v>
      </c>
      <c r="I544" t="s">
        <v>740</v>
      </c>
      <c r="J544" t="s">
        <v>742</v>
      </c>
      <c r="K544" t="str">
        <f>"Z71217K"</f>
        <v>0</v>
      </c>
      <c r="L544">
        <v>175000</v>
      </c>
      <c r="M544"/>
      <c r="N544" t="s">
        <v>38</v>
      </c>
      <c r="O544" t="s">
        <v>38</v>
      </c>
      <c r="P544" t="s">
        <v>53</v>
      </c>
      <c r="Q544" t="s">
        <v>38</v>
      </c>
      <c r="R544" t="s">
        <v>38</v>
      </c>
      <c r="S544" t="s">
        <v>42</v>
      </c>
      <c r="T544" t="s">
        <v>42</v>
      </c>
      <c r="U544" t="s">
        <v>719</v>
      </c>
      <c r="V544" t="s">
        <v>44</v>
      </c>
      <c r="W544" t="s">
        <v>719</v>
      </c>
      <c r="X544" t="s">
        <v>45</v>
      </c>
      <c r="Y544" t="s">
        <v>733</v>
      </c>
      <c r="Z544" t="s">
        <v>47</v>
      </c>
      <c r="AA544"/>
      <c r="AB544"/>
      <c r="AC544"/>
      <c r="AD544"/>
    </row>
    <row r="545" spans="1:30">
      <c r="A545">
        <v>2110060205</v>
      </c>
      <c r="B545" t="s">
        <v>30</v>
      </c>
      <c r="C545" t="s">
        <v>31</v>
      </c>
      <c r="D545" t="s">
        <v>32</v>
      </c>
      <c r="E545" t="s">
        <v>654</v>
      </c>
      <c r="F545" t="s">
        <v>143</v>
      </c>
      <c r="G545" t="s">
        <v>381</v>
      </c>
      <c r="H545" t="s">
        <v>50</v>
      </c>
      <c r="I545" t="s">
        <v>743</v>
      </c>
      <c r="J545" t="s">
        <v>744</v>
      </c>
      <c r="K545" t="str">
        <f>"na"</f>
        <v>0</v>
      </c>
      <c r="L545">
        <v>375000</v>
      </c>
      <c r="M545"/>
      <c r="N545" t="s">
        <v>38</v>
      </c>
      <c r="O545" t="s">
        <v>38</v>
      </c>
      <c r="P545" t="s">
        <v>53</v>
      </c>
      <c r="Q545" t="s">
        <v>38</v>
      </c>
      <c r="R545" t="s">
        <v>38</v>
      </c>
      <c r="S545" t="s">
        <v>42</v>
      </c>
      <c r="T545" t="s">
        <v>42</v>
      </c>
      <c r="U545" t="s">
        <v>719</v>
      </c>
      <c r="V545" t="s">
        <v>44</v>
      </c>
      <c r="W545" t="s">
        <v>719</v>
      </c>
      <c r="X545" t="s">
        <v>45</v>
      </c>
      <c r="Y545" t="s">
        <v>656</v>
      </c>
      <c r="Z545" t="s">
        <v>47</v>
      </c>
      <c r="AA545"/>
      <c r="AB545"/>
      <c r="AC545"/>
      <c r="AD545"/>
    </row>
    <row r="546" spans="1:30">
      <c r="A546">
        <v>2110060194</v>
      </c>
      <c r="B546" t="s">
        <v>30</v>
      </c>
      <c r="C546" t="s">
        <v>31</v>
      </c>
      <c r="D546" t="s">
        <v>32</v>
      </c>
      <c r="E546" t="s">
        <v>565</v>
      </c>
      <c r="F546" t="s">
        <v>143</v>
      </c>
      <c r="G546" t="s">
        <v>392</v>
      </c>
      <c r="H546" t="s">
        <v>50</v>
      </c>
      <c r="I546" t="s">
        <v>393</v>
      </c>
      <c r="J546" t="s">
        <v>745</v>
      </c>
      <c r="K546" t="str">
        <f>"na"</f>
        <v>0</v>
      </c>
      <c r="L546">
        <v>73583</v>
      </c>
      <c r="M546"/>
      <c r="N546" t="s">
        <v>38</v>
      </c>
      <c r="O546" t="s">
        <v>38</v>
      </c>
      <c r="P546" t="s">
        <v>53</v>
      </c>
      <c r="Q546" t="s">
        <v>38</v>
      </c>
      <c r="R546" t="s">
        <v>38</v>
      </c>
      <c r="S546" t="s">
        <v>42</v>
      </c>
      <c r="T546" t="s">
        <v>42</v>
      </c>
      <c r="U546" t="s">
        <v>719</v>
      </c>
      <c r="V546" t="s">
        <v>44</v>
      </c>
      <c r="W546" t="s">
        <v>719</v>
      </c>
      <c r="X546" t="s">
        <v>45</v>
      </c>
      <c r="Y546" t="s">
        <v>680</v>
      </c>
      <c r="Z546" t="s">
        <v>47</v>
      </c>
      <c r="AA546"/>
      <c r="AB546"/>
      <c r="AC546"/>
      <c r="AD546"/>
    </row>
    <row r="547" spans="1:30">
      <c r="A547">
        <v>2110060195</v>
      </c>
      <c r="B547" t="s">
        <v>30</v>
      </c>
      <c r="C547" t="s">
        <v>31</v>
      </c>
      <c r="D547" t="s">
        <v>32</v>
      </c>
      <c r="E547" t="s">
        <v>565</v>
      </c>
      <c r="F547" t="s">
        <v>143</v>
      </c>
      <c r="G547" t="s">
        <v>392</v>
      </c>
      <c r="H547" t="s">
        <v>50</v>
      </c>
      <c r="I547" t="s">
        <v>746</v>
      </c>
      <c r="J547" t="s">
        <v>315</v>
      </c>
      <c r="K547" t="str">
        <f>"CA-92"</f>
        <v>0</v>
      </c>
      <c r="L547">
        <v>70000</v>
      </c>
      <c r="M547"/>
      <c r="N547" t="s">
        <v>38</v>
      </c>
      <c r="O547" t="s">
        <v>38</v>
      </c>
      <c r="P547" t="s">
        <v>53</v>
      </c>
      <c r="Q547" t="s">
        <v>38</v>
      </c>
      <c r="R547" t="s">
        <v>38</v>
      </c>
      <c r="S547" t="s">
        <v>42</v>
      </c>
      <c r="T547" t="s">
        <v>42</v>
      </c>
      <c r="U547" t="s">
        <v>719</v>
      </c>
      <c r="V547" t="s">
        <v>44</v>
      </c>
      <c r="W547" t="s">
        <v>719</v>
      </c>
      <c r="X547" t="s">
        <v>45</v>
      </c>
      <c r="Y547" t="s">
        <v>680</v>
      </c>
      <c r="Z547" t="s">
        <v>47</v>
      </c>
      <c r="AA547"/>
      <c r="AB547"/>
      <c r="AC547"/>
      <c r="AD547"/>
    </row>
    <row r="548" spans="1:30">
      <c r="A548">
        <v>3110100039</v>
      </c>
      <c r="B548" t="s">
        <v>30</v>
      </c>
      <c r="C548" t="s">
        <v>61</v>
      </c>
      <c r="D548" t="s">
        <v>71</v>
      </c>
      <c r="E548" t="s">
        <v>55</v>
      </c>
      <c r="F548" t="s">
        <v>143</v>
      </c>
      <c r="G548" t="s">
        <v>381</v>
      </c>
      <c r="H548" t="s">
        <v>50</v>
      </c>
      <c r="I548" t="s">
        <v>747</v>
      </c>
      <c r="J548" t="s">
        <v>59</v>
      </c>
      <c r="K548" t="str">
        <f>"na"</f>
        <v>0</v>
      </c>
      <c r="L548">
        <v>160000</v>
      </c>
      <c r="M548"/>
      <c r="N548" t="s">
        <v>38</v>
      </c>
      <c r="O548" t="s">
        <v>38</v>
      </c>
      <c r="P548" t="s">
        <v>53</v>
      </c>
      <c r="Q548" t="s">
        <v>38</v>
      </c>
      <c r="R548" t="s">
        <v>38</v>
      </c>
      <c r="S548" t="s">
        <v>42</v>
      </c>
      <c r="T548" t="s">
        <v>42</v>
      </c>
      <c r="U548" t="s">
        <v>719</v>
      </c>
      <c r="V548" t="s">
        <v>636</v>
      </c>
      <c r="W548" t="s">
        <v>719</v>
      </c>
      <c r="X548" t="s">
        <v>45</v>
      </c>
      <c r="Y548" t="s">
        <v>748</v>
      </c>
      <c r="Z548" t="s">
        <v>47</v>
      </c>
      <c r="AA548"/>
      <c r="AB548"/>
      <c r="AC548"/>
      <c r="AD548" t="s">
        <v>638</v>
      </c>
    </row>
    <row r="549" spans="1:30">
      <c r="A549">
        <v>3110100040</v>
      </c>
      <c r="B549" t="s">
        <v>30</v>
      </c>
      <c r="C549" t="s">
        <v>61</v>
      </c>
      <c r="D549" t="s">
        <v>71</v>
      </c>
      <c r="E549" t="s">
        <v>55</v>
      </c>
      <c r="F549" t="s">
        <v>143</v>
      </c>
      <c r="G549" t="s">
        <v>381</v>
      </c>
      <c r="H549" t="s">
        <v>50</v>
      </c>
      <c r="I549" t="s">
        <v>747</v>
      </c>
      <c r="J549" t="s">
        <v>59</v>
      </c>
      <c r="K549" t="str">
        <f>"na"</f>
        <v>0</v>
      </c>
      <c r="L549">
        <v>160000</v>
      </c>
      <c r="M549"/>
      <c r="N549" t="s">
        <v>38</v>
      </c>
      <c r="O549" t="s">
        <v>38</v>
      </c>
      <c r="P549" t="s">
        <v>53</v>
      </c>
      <c r="Q549" t="s">
        <v>38</v>
      </c>
      <c r="R549" t="s">
        <v>38</v>
      </c>
      <c r="S549" t="s">
        <v>42</v>
      </c>
      <c r="T549" t="s">
        <v>42</v>
      </c>
      <c r="U549" t="s">
        <v>719</v>
      </c>
      <c r="V549" t="s">
        <v>636</v>
      </c>
      <c r="W549" t="s">
        <v>719</v>
      </c>
      <c r="X549" t="s">
        <v>45</v>
      </c>
      <c r="Y549" t="s">
        <v>748</v>
      </c>
      <c r="Z549" t="s">
        <v>47</v>
      </c>
      <c r="AA549"/>
      <c r="AB549"/>
      <c r="AC549"/>
      <c r="AD549" t="s">
        <v>638</v>
      </c>
    </row>
    <row r="550" spans="1:30">
      <c r="A550">
        <v>2110060199</v>
      </c>
      <c r="B550" t="s">
        <v>30</v>
      </c>
      <c r="C550" t="s">
        <v>31</v>
      </c>
      <c r="D550" t="s">
        <v>32</v>
      </c>
      <c r="E550" t="s">
        <v>654</v>
      </c>
      <c r="F550" t="s">
        <v>387</v>
      </c>
      <c r="G550" t="s">
        <v>388</v>
      </c>
      <c r="H550" t="s">
        <v>50</v>
      </c>
      <c r="I550" t="s">
        <v>749</v>
      </c>
      <c r="J550" t="s">
        <v>750</v>
      </c>
      <c r="K550" t="str">
        <f>"HT-17-C-4290"</f>
        <v>0</v>
      </c>
      <c r="L550">
        <v>220080</v>
      </c>
      <c r="M550"/>
      <c r="N550" t="s">
        <v>38</v>
      </c>
      <c r="O550" t="s">
        <v>38</v>
      </c>
      <c r="P550" t="s">
        <v>53</v>
      </c>
      <c r="Q550" t="s">
        <v>38</v>
      </c>
      <c r="R550" t="s">
        <v>38</v>
      </c>
      <c r="S550" t="s">
        <v>42</v>
      </c>
      <c r="T550" t="s">
        <v>42</v>
      </c>
      <c r="U550" t="s">
        <v>719</v>
      </c>
      <c r="V550" t="s">
        <v>44</v>
      </c>
      <c r="W550" t="s">
        <v>719</v>
      </c>
      <c r="X550" t="s">
        <v>45</v>
      </c>
      <c r="Y550" t="s">
        <v>656</v>
      </c>
      <c r="Z550" t="s">
        <v>47</v>
      </c>
      <c r="AA550"/>
      <c r="AB550"/>
      <c r="AC550"/>
      <c r="AD550"/>
    </row>
    <row r="551" spans="1:30">
      <c r="A551">
        <v>3110100035</v>
      </c>
      <c r="B551" t="s">
        <v>30</v>
      </c>
      <c r="C551" t="s">
        <v>61</v>
      </c>
      <c r="D551" t="s">
        <v>71</v>
      </c>
      <c r="E551" t="s">
        <v>55</v>
      </c>
      <c r="F551" t="s">
        <v>387</v>
      </c>
      <c r="G551" t="s">
        <v>388</v>
      </c>
      <c r="H551" t="s">
        <v>50</v>
      </c>
      <c r="I551" t="s">
        <v>749</v>
      </c>
      <c r="J551" t="s">
        <v>751</v>
      </c>
      <c r="K551" t="str">
        <f>"HT17B4237"</f>
        <v>0</v>
      </c>
      <c r="L551">
        <v>220080</v>
      </c>
      <c r="M551"/>
      <c r="N551" t="s">
        <v>38</v>
      </c>
      <c r="O551" t="s">
        <v>38</v>
      </c>
      <c r="P551" t="s">
        <v>53</v>
      </c>
      <c r="Q551" t="s">
        <v>38</v>
      </c>
      <c r="R551" t="s">
        <v>38</v>
      </c>
      <c r="S551" t="s">
        <v>42</v>
      </c>
      <c r="T551" t="s">
        <v>42</v>
      </c>
      <c r="U551" t="s">
        <v>719</v>
      </c>
      <c r="V551" t="s">
        <v>636</v>
      </c>
      <c r="W551" t="s">
        <v>719</v>
      </c>
      <c r="X551" t="s">
        <v>45</v>
      </c>
      <c r="Y551" t="s">
        <v>748</v>
      </c>
      <c r="Z551" t="s">
        <v>47</v>
      </c>
      <c r="AA551"/>
      <c r="AB551"/>
      <c r="AC551"/>
      <c r="AD551" t="s">
        <v>638</v>
      </c>
    </row>
    <row r="552" spans="1:30">
      <c r="A552">
        <v>2110060200</v>
      </c>
      <c r="B552" t="s">
        <v>30</v>
      </c>
      <c r="C552" t="s">
        <v>31</v>
      </c>
      <c r="D552" t="s">
        <v>32</v>
      </c>
      <c r="E552" t="s">
        <v>654</v>
      </c>
      <c r="F552" t="s">
        <v>113</v>
      </c>
      <c r="G552" t="s">
        <v>114</v>
      </c>
      <c r="H552" t="s">
        <v>35</v>
      </c>
      <c r="I552" t="s">
        <v>115</v>
      </c>
      <c r="J552" t="s">
        <v>752</v>
      </c>
      <c r="K552" t="str">
        <f>"Asg-l-1207132"</f>
        <v>0</v>
      </c>
      <c r="L552">
        <v>79420</v>
      </c>
      <c r="M552"/>
      <c r="N552" t="s">
        <v>38</v>
      </c>
      <c r="O552" t="s">
        <v>38</v>
      </c>
      <c r="P552" t="s">
        <v>53</v>
      </c>
      <c r="Q552" t="s">
        <v>38</v>
      </c>
      <c r="R552" t="s">
        <v>38</v>
      </c>
      <c r="S552" t="s">
        <v>42</v>
      </c>
      <c r="T552" t="s">
        <v>42</v>
      </c>
      <c r="U552" t="s">
        <v>719</v>
      </c>
      <c r="V552" t="s">
        <v>44</v>
      </c>
      <c r="W552" t="s">
        <v>719</v>
      </c>
      <c r="X552" t="s">
        <v>45</v>
      </c>
      <c r="Y552" t="s">
        <v>656</v>
      </c>
      <c r="Z552" t="s">
        <v>47</v>
      </c>
      <c r="AA552"/>
      <c r="AB552"/>
      <c r="AC552"/>
      <c r="AD552"/>
    </row>
    <row r="553" spans="1:30">
      <c r="A553">
        <v>3110100026</v>
      </c>
      <c r="B553" t="s">
        <v>30</v>
      </c>
      <c r="C553" t="s">
        <v>61</v>
      </c>
      <c r="D553" t="s">
        <v>71</v>
      </c>
      <c r="E553" t="s">
        <v>55</v>
      </c>
      <c r="F553" t="s">
        <v>113</v>
      </c>
      <c r="G553" t="s">
        <v>114</v>
      </c>
      <c r="H553" t="s">
        <v>35</v>
      </c>
      <c r="I553" t="s">
        <v>753</v>
      </c>
      <c r="J553" t="s">
        <v>754</v>
      </c>
      <c r="K553" t="str">
        <f>"11508615"</f>
        <v>0</v>
      </c>
      <c r="L553">
        <v>557000</v>
      </c>
      <c r="M553"/>
      <c r="N553" t="s">
        <v>38</v>
      </c>
      <c r="O553" t="s">
        <v>38</v>
      </c>
      <c r="P553" t="s">
        <v>53</v>
      </c>
      <c r="Q553" t="s">
        <v>38</v>
      </c>
      <c r="R553" t="s">
        <v>38</v>
      </c>
      <c r="S553" t="s">
        <v>42</v>
      </c>
      <c r="T553" t="s">
        <v>42</v>
      </c>
      <c r="U553" t="s">
        <v>719</v>
      </c>
      <c r="V553" t="s">
        <v>636</v>
      </c>
      <c r="W553" t="s">
        <v>719</v>
      </c>
      <c r="X553" t="s">
        <v>45</v>
      </c>
      <c r="Y553" t="s">
        <v>748</v>
      </c>
      <c r="Z553" t="s">
        <v>47</v>
      </c>
      <c r="AA553"/>
      <c r="AB553"/>
      <c r="AC553"/>
      <c r="AD553" t="s">
        <v>638</v>
      </c>
    </row>
    <row r="554" spans="1:30">
      <c r="A554">
        <v>2110060094</v>
      </c>
      <c r="B554" t="s">
        <v>30</v>
      </c>
      <c r="C554" t="s">
        <v>31</v>
      </c>
      <c r="D554" t="s">
        <v>32</v>
      </c>
      <c r="E554" t="s">
        <v>118</v>
      </c>
      <c r="F554" t="s">
        <v>48</v>
      </c>
      <c r="G554" t="s">
        <v>119</v>
      </c>
      <c r="H554" t="s">
        <v>50</v>
      </c>
      <c r="I554" t="s">
        <v>695</v>
      </c>
      <c r="J554" t="s">
        <v>755</v>
      </c>
      <c r="K554" t="str">
        <f>"na"</f>
        <v>0</v>
      </c>
      <c r="L554">
        <v>120000</v>
      </c>
      <c r="M554"/>
      <c r="N554" t="s">
        <v>38</v>
      </c>
      <c r="O554" t="s">
        <v>38</v>
      </c>
      <c r="P554" t="s">
        <v>53</v>
      </c>
      <c r="Q554" t="s">
        <v>38</v>
      </c>
      <c r="R554" t="s">
        <v>38</v>
      </c>
      <c r="S554" t="s">
        <v>42</v>
      </c>
      <c r="T554" t="s">
        <v>42</v>
      </c>
      <c r="U554" t="s">
        <v>719</v>
      </c>
      <c r="V554" t="s">
        <v>636</v>
      </c>
      <c r="W554" t="s">
        <v>719</v>
      </c>
      <c r="X554" t="s">
        <v>45</v>
      </c>
      <c r="Y554" t="s">
        <v>637</v>
      </c>
      <c r="Z554" t="s">
        <v>47</v>
      </c>
      <c r="AA554"/>
      <c r="AB554"/>
      <c r="AC554"/>
      <c r="AD554" t="s">
        <v>638</v>
      </c>
    </row>
    <row r="555" spans="1:30">
      <c r="A555">
        <v>2110060096</v>
      </c>
      <c r="B555" t="s">
        <v>30</v>
      </c>
      <c r="C555" t="s">
        <v>31</v>
      </c>
      <c r="D555" t="s">
        <v>32</v>
      </c>
      <c r="E555" t="s">
        <v>118</v>
      </c>
      <c r="F555" t="s">
        <v>48</v>
      </c>
      <c r="G555" t="s">
        <v>756</v>
      </c>
      <c r="H555" t="s">
        <v>50</v>
      </c>
      <c r="I555" t="s">
        <v>650</v>
      </c>
      <c r="J555" t="s">
        <v>757</v>
      </c>
      <c r="K555" t="str">
        <f>"na"</f>
        <v>0</v>
      </c>
      <c r="L555">
        <v>888300</v>
      </c>
      <c r="M555"/>
      <c r="N555" t="s">
        <v>38</v>
      </c>
      <c r="O555" t="s">
        <v>38</v>
      </c>
      <c r="P555" t="s">
        <v>53</v>
      </c>
      <c r="Q555" t="s">
        <v>38</v>
      </c>
      <c r="R555" t="s">
        <v>38</v>
      </c>
      <c r="S555" t="s">
        <v>42</v>
      </c>
      <c r="T555" t="s">
        <v>42</v>
      </c>
      <c r="U555" t="s">
        <v>719</v>
      </c>
      <c r="V555" t="s">
        <v>636</v>
      </c>
      <c r="W555" t="s">
        <v>719</v>
      </c>
      <c r="X555" t="s">
        <v>45</v>
      </c>
      <c r="Y555" t="s">
        <v>637</v>
      </c>
      <c r="Z555" t="s">
        <v>47</v>
      </c>
      <c r="AA555"/>
      <c r="AB555"/>
      <c r="AC555"/>
      <c r="AD555" t="s">
        <v>638</v>
      </c>
    </row>
    <row r="556" spans="1:30">
      <c r="A556">
        <v>2110060203</v>
      </c>
      <c r="B556" t="s">
        <v>30</v>
      </c>
      <c r="C556" t="s">
        <v>31</v>
      </c>
      <c r="D556" t="s">
        <v>32</v>
      </c>
      <c r="E556" t="s">
        <v>654</v>
      </c>
      <c r="F556" t="s">
        <v>401</v>
      </c>
      <c r="G556" t="s">
        <v>402</v>
      </c>
      <c r="H556" t="s">
        <v>50</v>
      </c>
      <c r="I556" t="s">
        <v>447</v>
      </c>
      <c r="J556" t="s">
        <v>315</v>
      </c>
      <c r="K556" t="str">
        <f>"1501-4126-26"</f>
        <v>0</v>
      </c>
      <c r="L556">
        <v>169935</v>
      </c>
      <c r="M556"/>
      <c r="N556" t="s">
        <v>38</v>
      </c>
      <c r="O556" t="s">
        <v>38</v>
      </c>
      <c r="P556" t="s">
        <v>53</v>
      </c>
      <c r="Q556" t="s">
        <v>38</v>
      </c>
      <c r="R556" t="s">
        <v>38</v>
      </c>
      <c r="S556" t="s">
        <v>42</v>
      </c>
      <c r="T556" t="s">
        <v>42</v>
      </c>
      <c r="U556" t="s">
        <v>719</v>
      </c>
      <c r="V556" t="s">
        <v>44</v>
      </c>
      <c r="W556" t="s">
        <v>719</v>
      </c>
      <c r="X556" t="s">
        <v>45</v>
      </c>
      <c r="Y556" t="s">
        <v>656</v>
      </c>
      <c r="Z556" t="s">
        <v>47</v>
      </c>
      <c r="AA556"/>
      <c r="AB556"/>
      <c r="AC556"/>
      <c r="AD556"/>
    </row>
    <row r="557" spans="1:30">
      <c r="A557">
        <v>3110110027</v>
      </c>
      <c r="B557" t="s">
        <v>30</v>
      </c>
      <c r="C557" t="s">
        <v>61</v>
      </c>
      <c r="D557" t="s">
        <v>62</v>
      </c>
      <c r="E557" t="s">
        <v>55</v>
      </c>
      <c r="F557" t="s">
        <v>401</v>
      </c>
      <c r="G557" t="s">
        <v>402</v>
      </c>
      <c r="H557" t="s">
        <v>50</v>
      </c>
      <c r="I557" t="s">
        <v>404</v>
      </c>
      <c r="J557" t="s">
        <v>405</v>
      </c>
      <c r="K557" t="str">
        <f>"na"</f>
        <v>0</v>
      </c>
      <c r="L557">
        <v>355071</v>
      </c>
      <c r="M557"/>
      <c r="N557" t="s">
        <v>38</v>
      </c>
      <c r="O557" t="s">
        <v>38</v>
      </c>
      <c r="P557" t="s">
        <v>53</v>
      </c>
      <c r="Q557" t="s">
        <v>38</v>
      </c>
      <c r="R557" t="s">
        <v>38</v>
      </c>
      <c r="S557" t="s">
        <v>42</v>
      </c>
      <c r="T557" t="s">
        <v>42</v>
      </c>
      <c r="U557" t="s">
        <v>719</v>
      </c>
      <c r="V557" t="s">
        <v>44</v>
      </c>
      <c r="W557" t="s">
        <v>719</v>
      </c>
      <c r="X557" t="s">
        <v>45</v>
      </c>
      <c r="Y557" t="s">
        <v>720</v>
      </c>
      <c r="Z557" t="s">
        <v>47</v>
      </c>
      <c r="AA557"/>
      <c r="AB557"/>
      <c r="AC557"/>
      <c r="AD557"/>
    </row>
    <row r="558" spans="1:30">
      <c r="A558">
        <v>3110100041</v>
      </c>
      <c r="B558" t="s">
        <v>30</v>
      </c>
      <c r="C558" t="s">
        <v>61</v>
      </c>
      <c r="D558" t="s">
        <v>71</v>
      </c>
      <c r="E558" t="s">
        <v>55</v>
      </c>
      <c r="F558" t="s">
        <v>401</v>
      </c>
      <c r="G558" t="s">
        <v>402</v>
      </c>
      <c r="H558" t="s">
        <v>50</v>
      </c>
      <c r="I558" t="s">
        <v>404</v>
      </c>
      <c r="J558" t="s">
        <v>405</v>
      </c>
      <c r="K558" t="str">
        <f>"na"</f>
        <v>0</v>
      </c>
      <c r="L558">
        <v>355071</v>
      </c>
      <c r="M558"/>
      <c r="N558" t="s">
        <v>38</v>
      </c>
      <c r="O558" t="s">
        <v>38</v>
      </c>
      <c r="P558" t="s">
        <v>53</v>
      </c>
      <c r="Q558" t="s">
        <v>38</v>
      </c>
      <c r="R558" t="s">
        <v>38</v>
      </c>
      <c r="S558" t="s">
        <v>42</v>
      </c>
      <c r="T558" t="s">
        <v>42</v>
      </c>
      <c r="U558" t="s">
        <v>719</v>
      </c>
      <c r="V558" t="s">
        <v>636</v>
      </c>
      <c r="W558" t="s">
        <v>719</v>
      </c>
      <c r="X558" t="s">
        <v>45</v>
      </c>
      <c r="Y558" t="s">
        <v>748</v>
      </c>
      <c r="Z558" t="s">
        <v>47</v>
      </c>
      <c r="AA558"/>
      <c r="AB558"/>
      <c r="AC558"/>
      <c r="AD558" t="s">
        <v>638</v>
      </c>
    </row>
    <row r="559" spans="1:30">
      <c r="A559">
        <v>2110060204</v>
      </c>
      <c r="B559" t="s">
        <v>30</v>
      </c>
      <c r="C559" t="s">
        <v>31</v>
      </c>
      <c r="D559" t="s">
        <v>32</v>
      </c>
      <c r="E559" t="s">
        <v>654</v>
      </c>
      <c r="F559" t="s">
        <v>108</v>
      </c>
      <c r="G559" t="s">
        <v>109</v>
      </c>
      <c r="H559" t="s">
        <v>50</v>
      </c>
      <c r="I559" t="s">
        <v>110</v>
      </c>
      <c r="J559" t="s">
        <v>758</v>
      </c>
      <c r="K559" t="str">
        <f>"na"</f>
        <v>0</v>
      </c>
      <c r="L559">
        <v>12500</v>
      </c>
      <c r="M559"/>
      <c r="N559" t="s">
        <v>38</v>
      </c>
      <c r="O559" t="s">
        <v>38</v>
      </c>
      <c r="P559" t="s">
        <v>53</v>
      </c>
      <c r="Q559" t="s">
        <v>38</v>
      </c>
      <c r="R559" t="s">
        <v>38</v>
      </c>
      <c r="S559" t="s">
        <v>42</v>
      </c>
      <c r="T559" t="s">
        <v>42</v>
      </c>
      <c r="U559" t="s">
        <v>719</v>
      </c>
      <c r="V559" t="s">
        <v>44</v>
      </c>
      <c r="W559" t="s">
        <v>719</v>
      </c>
      <c r="X559" t="s">
        <v>45</v>
      </c>
      <c r="Y559" t="s">
        <v>656</v>
      </c>
      <c r="Z559" t="s">
        <v>47</v>
      </c>
      <c r="AA559"/>
      <c r="AB559"/>
      <c r="AC559"/>
      <c r="AD559"/>
    </row>
    <row r="560" spans="1:30">
      <c r="A560">
        <v>3110100005</v>
      </c>
      <c r="B560" t="s">
        <v>30</v>
      </c>
      <c r="C560" t="s">
        <v>61</v>
      </c>
      <c r="D560" t="s">
        <v>71</v>
      </c>
      <c r="E560" t="s">
        <v>55</v>
      </c>
      <c r="F560" t="s">
        <v>90</v>
      </c>
      <c r="G560" t="s">
        <v>628</v>
      </c>
      <c r="H560" t="s">
        <v>35</v>
      </c>
      <c r="I560" t="s">
        <v>663</v>
      </c>
      <c r="J560" t="s">
        <v>759</v>
      </c>
      <c r="K560" t="str">
        <f>"6137102387"</f>
        <v>0</v>
      </c>
      <c r="L560">
        <v>1106000</v>
      </c>
      <c r="M560"/>
      <c r="N560" t="s">
        <v>38</v>
      </c>
      <c r="O560" t="s">
        <v>38</v>
      </c>
      <c r="P560" t="s">
        <v>53</v>
      </c>
      <c r="Q560" t="s">
        <v>38</v>
      </c>
      <c r="R560" t="s">
        <v>38</v>
      </c>
      <c r="S560" t="s">
        <v>42</v>
      </c>
      <c r="T560" t="s">
        <v>42</v>
      </c>
      <c r="U560" t="s">
        <v>719</v>
      </c>
      <c r="V560" t="s">
        <v>636</v>
      </c>
      <c r="W560" t="s">
        <v>719</v>
      </c>
      <c r="X560" t="s">
        <v>45</v>
      </c>
      <c r="Y560" t="s">
        <v>748</v>
      </c>
      <c r="Z560" t="s">
        <v>47</v>
      </c>
      <c r="AA560"/>
      <c r="AB560"/>
      <c r="AC560"/>
      <c r="AD560" t="s">
        <v>638</v>
      </c>
    </row>
    <row r="561" spans="1:30">
      <c r="A561">
        <v>2110060102</v>
      </c>
      <c r="B561" t="s">
        <v>30</v>
      </c>
      <c r="C561" t="s">
        <v>31</v>
      </c>
      <c r="D561" t="s">
        <v>32</v>
      </c>
      <c r="E561" t="s">
        <v>182</v>
      </c>
      <c r="F561" t="s">
        <v>90</v>
      </c>
      <c r="G561" t="s">
        <v>85</v>
      </c>
      <c r="H561" t="s">
        <v>50</v>
      </c>
      <c r="I561" t="s">
        <v>86</v>
      </c>
      <c r="J561" t="s">
        <v>760</v>
      </c>
      <c r="K561" t="str">
        <f>"na"</f>
        <v>0</v>
      </c>
      <c r="L561">
        <v>30000</v>
      </c>
      <c r="M561"/>
      <c r="N561" t="s">
        <v>38</v>
      </c>
      <c r="O561" t="s">
        <v>38</v>
      </c>
      <c r="P561" t="s">
        <v>53</v>
      </c>
      <c r="Q561" t="s">
        <v>38</v>
      </c>
      <c r="R561" t="s">
        <v>38</v>
      </c>
      <c r="S561" t="s">
        <v>42</v>
      </c>
      <c r="T561" t="s">
        <v>42</v>
      </c>
      <c r="U561" t="s">
        <v>719</v>
      </c>
      <c r="V561" t="s">
        <v>636</v>
      </c>
      <c r="W561" t="s">
        <v>719</v>
      </c>
      <c r="X561" t="s">
        <v>45</v>
      </c>
      <c r="Y561" t="s">
        <v>637</v>
      </c>
      <c r="Z561" t="s">
        <v>47</v>
      </c>
      <c r="AA561"/>
      <c r="AB561"/>
      <c r="AC561"/>
      <c r="AD561" t="s">
        <v>691</v>
      </c>
    </row>
    <row r="562" spans="1:30">
      <c r="A562">
        <v>2110060192</v>
      </c>
      <c r="B562" t="s">
        <v>30</v>
      </c>
      <c r="C562" t="s">
        <v>31</v>
      </c>
      <c r="D562" t="s">
        <v>32</v>
      </c>
      <c r="E562" t="s">
        <v>565</v>
      </c>
      <c r="F562" t="s">
        <v>90</v>
      </c>
      <c r="G562" t="s">
        <v>628</v>
      </c>
      <c r="H562" t="s">
        <v>35</v>
      </c>
      <c r="I562" t="s">
        <v>761</v>
      </c>
      <c r="J562" t="s">
        <v>762</v>
      </c>
      <c r="K562" t="str">
        <f>"na"</f>
        <v>0</v>
      </c>
      <c r="L562">
        <v>390000</v>
      </c>
      <c r="M562"/>
      <c r="N562" t="s">
        <v>38</v>
      </c>
      <c r="O562" t="s">
        <v>38</v>
      </c>
      <c r="P562" t="s">
        <v>53</v>
      </c>
      <c r="Q562" t="s">
        <v>38</v>
      </c>
      <c r="R562" t="s">
        <v>38</v>
      </c>
      <c r="S562" t="s">
        <v>42</v>
      </c>
      <c r="T562" t="s">
        <v>42</v>
      </c>
      <c r="U562" t="s">
        <v>719</v>
      </c>
      <c r="V562" t="s">
        <v>44</v>
      </c>
      <c r="W562" t="s">
        <v>719</v>
      </c>
      <c r="X562" t="s">
        <v>45</v>
      </c>
      <c r="Y562" t="s">
        <v>673</v>
      </c>
      <c r="Z562" t="s">
        <v>47</v>
      </c>
      <c r="AA562"/>
      <c r="AB562"/>
      <c r="AC562"/>
      <c r="AD562"/>
    </row>
    <row r="563" spans="1:30">
      <c r="A563">
        <v>2110060103</v>
      </c>
      <c r="B563" t="s">
        <v>30</v>
      </c>
      <c r="C563" t="s">
        <v>31</v>
      </c>
      <c r="D563" t="s">
        <v>32</v>
      </c>
      <c r="E563" t="s">
        <v>182</v>
      </c>
      <c r="F563" t="s">
        <v>90</v>
      </c>
      <c r="G563" t="s">
        <v>85</v>
      </c>
      <c r="H563" t="s">
        <v>50</v>
      </c>
      <c r="I563" t="s">
        <v>86</v>
      </c>
      <c r="J563" t="s">
        <v>760</v>
      </c>
      <c r="K563" t="str">
        <f>"b-11717"</f>
        <v>0</v>
      </c>
      <c r="L563">
        <v>30000</v>
      </c>
      <c r="M563"/>
      <c r="N563" t="s">
        <v>38</v>
      </c>
      <c r="O563" t="s">
        <v>38</v>
      </c>
      <c r="P563" t="s">
        <v>53</v>
      </c>
      <c r="Q563" t="s">
        <v>38</v>
      </c>
      <c r="R563" t="s">
        <v>38</v>
      </c>
      <c r="S563" t="s">
        <v>42</v>
      </c>
      <c r="T563" t="s">
        <v>42</v>
      </c>
      <c r="U563" t="s">
        <v>719</v>
      </c>
      <c r="V563" t="s">
        <v>44</v>
      </c>
      <c r="W563" t="s">
        <v>719</v>
      </c>
      <c r="X563" t="s">
        <v>45</v>
      </c>
      <c r="Y563" t="s">
        <v>653</v>
      </c>
      <c r="Z563" t="s">
        <v>47</v>
      </c>
      <c r="AA563"/>
      <c r="AB563"/>
      <c r="AC563"/>
      <c r="AD563"/>
    </row>
    <row r="564" spans="1:30">
      <c r="A564">
        <v>2110060143</v>
      </c>
      <c r="B564" t="s">
        <v>30</v>
      </c>
      <c r="C564" t="s">
        <v>31</v>
      </c>
      <c r="D564" t="s">
        <v>32</v>
      </c>
      <c r="E564" t="s">
        <v>151</v>
      </c>
      <c r="F564" t="s">
        <v>152</v>
      </c>
      <c r="G564" t="s">
        <v>763</v>
      </c>
      <c r="H564" t="s">
        <v>50</v>
      </c>
      <c r="I564" t="s">
        <v>764</v>
      </c>
      <c r="J564" t="s">
        <v>765</v>
      </c>
      <c r="K564" t="str">
        <f>"na"</f>
        <v>0</v>
      </c>
      <c r="L564">
        <v>475154</v>
      </c>
      <c r="M564"/>
      <c r="N564" t="s">
        <v>38</v>
      </c>
      <c r="O564" t="s">
        <v>38</v>
      </c>
      <c r="P564" t="s">
        <v>53</v>
      </c>
      <c r="Q564" t="s">
        <v>38</v>
      </c>
      <c r="R564" t="s">
        <v>38</v>
      </c>
      <c r="S564" t="s">
        <v>42</v>
      </c>
      <c r="T564" t="s">
        <v>42</v>
      </c>
      <c r="U564" t="s">
        <v>719</v>
      </c>
      <c r="V564" t="s">
        <v>44</v>
      </c>
      <c r="W564" t="s">
        <v>719</v>
      </c>
      <c r="X564" t="s">
        <v>45</v>
      </c>
      <c r="Y564" t="s">
        <v>653</v>
      </c>
      <c r="Z564" t="s">
        <v>47</v>
      </c>
      <c r="AA564"/>
      <c r="AB564"/>
      <c r="AC564"/>
      <c r="AD564"/>
    </row>
    <row r="565" spans="1:30">
      <c r="A565">
        <v>2110060106</v>
      </c>
      <c r="B565" t="s">
        <v>30</v>
      </c>
      <c r="C565" t="s">
        <v>31</v>
      </c>
      <c r="D565" t="s">
        <v>32</v>
      </c>
      <c r="E565" t="s">
        <v>182</v>
      </c>
      <c r="F565" t="s">
        <v>48</v>
      </c>
      <c r="G565" t="s">
        <v>646</v>
      </c>
      <c r="H565" t="s">
        <v>50</v>
      </c>
      <c r="I565" t="s">
        <v>91</v>
      </c>
      <c r="J565" t="s">
        <v>766</v>
      </c>
      <c r="K565" t="str">
        <f>"na"</f>
        <v>0</v>
      </c>
      <c r="L565">
        <v>30000</v>
      </c>
      <c r="M565"/>
      <c r="N565" t="s">
        <v>38</v>
      </c>
      <c r="O565" t="s">
        <v>38</v>
      </c>
      <c r="P565" t="s">
        <v>53</v>
      </c>
      <c r="Q565" t="s">
        <v>38</v>
      </c>
      <c r="R565" t="s">
        <v>38</v>
      </c>
      <c r="S565" t="s">
        <v>42</v>
      </c>
      <c r="T565" t="s">
        <v>42</v>
      </c>
      <c r="U565" t="s">
        <v>719</v>
      </c>
      <c r="V565" t="s">
        <v>44</v>
      </c>
      <c r="W565" t="s">
        <v>719</v>
      </c>
      <c r="X565" t="s">
        <v>45</v>
      </c>
      <c r="Y565" t="s">
        <v>653</v>
      </c>
      <c r="Z565" t="s">
        <v>47</v>
      </c>
      <c r="AA565"/>
      <c r="AB565"/>
      <c r="AC565"/>
      <c r="AD565"/>
    </row>
    <row r="566" spans="1:30">
      <c r="A566">
        <v>2110060230</v>
      </c>
      <c r="B566" t="s">
        <v>30</v>
      </c>
      <c r="C566" t="s">
        <v>31</v>
      </c>
      <c r="D566" t="s">
        <v>32</v>
      </c>
      <c r="E566" t="s">
        <v>188</v>
      </c>
      <c r="F566" t="s">
        <v>48</v>
      </c>
      <c r="G566" t="s">
        <v>646</v>
      </c>
      <c r="H566" t="s">
        <v>50</v>
      </c>
      <c r="I566" t="s">
        <v>571</v>
      </c>
      <c r="J566" t="s">
        <v>59</v>
      </c>
      <c r="K566" t="str">
        <f>"na"</f>
        <v>0</v>
      </c>
      <c r="L566">
        <v>30000</v>
      </c>
      <c r="M566"/>
      <c r="N566" t="s">
        <v>38</v>
      </c>
      <c r="O566" t="s">
        <v>38</v>
      </c>
      <c r="P566" t="s">
        <v>53</v>
      </c>
      <c r="Q566" t="s">
        <v>38</v>
      </c>
      <c r="R566" t="s">
        <v>38</v>
      </c>
      <c r="S566" t="s">
        <v>42</v>
      </c>
      <c r="T566" t="s">
        <v>42</v>
      </c>
      <c r="U566" t="s">
        <v>719</v>
      </c>
      <c r="V566" t="s">
        <v>44</v>
      </c>
      <c r="W566" t="s">
        <v>719</v>
      </c>
      <c r="X566" t="s">
        <v>45</v>
      </c>
      <c r="Y566" t="s">
        <v>664</v>
      </c>
      <c r="Z566" t="s">
        <v>47</v>
      </c>
      <c r="AA566"/>
      <c r="AB566"/>
      <c r="AC566"/>
      <c r="AD566"/>
    </row>
    <row r="567" spans="1:30">
      <c r="A567">
        <v>2110060193</v>
      </c>
      <c r="B567" t="s">
        <v>30</v>
      </c>
      <c r="C567" t="s">
        <v>31</v>
      </c>
      <c r="D567" t="s">
        <v>32</v>
      </c>
      <c r="E567" t="s">
        <v>565</v>
      </c>
      <c r="F567" t="s">
        <v>56</v>
      </c>
      <c r="G567" t="s">
        <v>178</v>
      </c>
      <c r="H567" t="s">
        <v>50</v>
      </c>
      <c r="I567" t="s">
        <v>767</v>
      </c>
      <c r="J567" t="s">
        <v>768</v>
      </c>
      <c r="K567" t="str">
        <f>"140301011-046"</f>
        <v>0</v>
      </c>
      <c r="L567">
        <v>156240</v>
      </c>
      <c r="M567"/>
      <c r="N567" t="s">
        <v>38</v>
      </c>
      <c r="O567" t="s">
        <v>38</v>
      </c>
      <c r="P567" t="s">
        <v>53</v>
      </c>
      <c r="Q567" t="s">
        <v>38</v>
      </c>
      <c r="R567" t="s">
        <v>38</v>
      </c>
      <c r="S567" t="s">
        <v>42</v>
      </c>
      <c r="T567" t="s">
        <v>42</v>
      </c>
      <c r="U567" t="s">
        <v>719</v>
      </c>
      <c r="V567" t="s">
        <v>44</v>
      </c>
      <c r="W567" t="s">
        <v>719</v>
      </c>
      <c r="X567" t="s">
        <v>45</v>
      </c>
      <c r="Y567" t="s">
        <v>680</v>
      </c>
      <c r="Z567" t="s">
        <v>47</v>
      </c>
      <c r="AA567"/>
      <c r="AB567"/>
      <c r="AC567"/>
      <c r="AD567"/>
    </row>
    <row r="568" spans="1:30">
      <c r="A568">
        <v>2110060049</v>
      </c>
      <c r="B568" t="s">
        <v>30</v>
      </c>
      <c r="C568" t="s">
        <v>31</v>
      </c>
      <c r="D568" t="s">
        <v>32</v>
      </c>
      <c r="E568" t="s">
        <v>468</v>
      </c>
      <c r="F568" t="s">
        <v>64</v>
      </c>
      <c r="G568" t="s">
        <v>99</v>
      </c>
      <c r="H568" t="s">
        <v>50</v>
      </c>
      <c r="I568" t="s">
        <v>469</v>
      </c>
      <c r="J568" t="s">
        <v>482</v>
      </c>
      <c r="K568" t="str">
        <f>"06282210500234"</f>
        <v>0</v>
      </c>
      <c r="L568">
        <v>36000</v>
      </c>
      <c r="M568"/>
      <c r="N568" t="s">
        <v>38</v>
      </c>
      <c r="O568" t="s">
        <v>38</v>
      </c>
      <c r="P568" t="s">
        <v>53</v>
      </c>
      <c r="Q568" t="s">
        <v>38</v>
      </c>
      <c r="R568" t="s">
        <v>38</v>
      </c>
      <c r="S568" t="s">
        <v>42</v>
      </c>
      <c r="T568" t="s">
        <v>42</v>
      </c>
      <c r="U568" t="s">
        <v>719</v>
      </c>
      <c r="V568" t="s">
        <v>44</v>
      </c>
      <c r="W568" t="s">
        <v>719</v>
      </c>
      <c r="X568" t="s">
        <v>45</v>
      </c>
      <c r="Y568" t="s">
        <v>653</v>
      </c>
      <c r="Z568" t="s">
        <v>47</v>
      </c>
      <c r="AA568"/>
      <c r="AB568"/>
      <c r="AC568"/>
      <c r="AD568"/>
    </row>
    <row r="569" spans="1:30">
      <c r="A569">
        <v>2110060048</v>
      </c>
      <c r="B569" t="s">
        <v>30</v>
      </c>
      <c r="C569" t="s">
        <v>31</v>
      </c>
      <c r="D569" t="s">
        <v>32</v>
      </c>
      <c r="E569" t="s">
        <v>468</v>
      </c>
      <c r="F569" t="s">
        <v>64</v>
      </c>
      <c r="G569" t="s">
        <v>99</v>
      </c>
      <c r="H569" t="s">
        <v>50</v>
      </c>
      <c r="I569" t="s">
        <v>466</v>
      </c>
      <c r="J569" t="s">
        <v>505</v>
      </c>
      <c r="K569" t="str">
        <f>"Dm  210513435"</f>
        <v>0</v>
      </c>
      <c r="L569">
        <v>36000</v>
      </c>
      <c r="M569"/>
      <c r="N569" t="s">
        <v>38</v>
      </c>
      <c r="O569" t="s">
        <v>38</v>
      </c>
      <c r="P569" t="s">
        <v>53</v>
      </c>
      <c r="Q569" t="s">
        <v>38</v>
      </c>
      <c r="R569" t="s">
        <v>38</v>
      </c>
      <c r="S569" t="s">
        <v>42</v>
      </c>
      <c r="T569" t="s">
        <v>42</v>
      </c>
      <c r="U569" t="s">
        <v>719</v>
      </c>
      <c r="V569" t="s">
        <v>44</v>
      </c>
      <c r="W569" t="s">
        <v>719</v>
      </c>
      <c r="X569" t="s">
        <v>45</v>
      </c>
      <c r="Y569" t="s">
        <v>653</v>
      </c>
      <c r="Z569" t="s">
        <v>47</v>
      </c>
      <c r="AA569"/>
      <c r="AB569"/>
      <c r="AC569"/>
      <c r="AD569"/>
    </row>
    <row r="570" spans="1:30">
      <c r="A570">
        <v>2110060156</v>
      </c>
      <c r="B570" t="s">
        <v>30</v>
      </c>
      <c r="C570" t="s">
        <v>31</v>
      </c>
      <c r="D570" t="s">
        <v>32</v>
      </c>
      <c r="E570" t="s">
        <v>93</v>
      </c>
      <c r="F570" t="s">
        <v>64</v>
      </c>
      <c r="G570" t="s">
        <v>99</v>
      </c>
      <c r="H570" t="s">
        <v>50</v>
      </c>
      <c r="I570" t="s">
        <v>417</v>
      </c>
      <c r="J570" t="s">
        <v>769</v>
      </c>
      <c r="K570" t="str">
        <f>"210304123"</f>
        <v>0</v>
      </c>
      <c r="L570">
        <v>38047</v>
      </c>
      <c r="M570"/>
      <c r="N570" t="s">
        <v>38</v>
      </c>
      <c r="O570" t="s">
        <v>38</v>
      </c>
      <c r="P570" t="s">
        <v>53</v>
      </c>
      <c r="Q570" t="s">
        <v>38</v>
      </c>
      <c r="R570" t="s">
        <v>38</v>
      </c>
      <c r="S570" t="s">
        <v>42</v>
      </c>
      <c r="T570" t="s">
        <v>42</v>
      </c>
      <c r="U570" t="s">
        <v>719</v>
      </c>
      <c r="V570" t="s">
        <v>44</v>
      </c>
      <c r="W570" t="s">
        <v>719</v>
      </c>
      <c r="X570" t="s">
        <v>45</v>
      </c>
      <c r="Y570" t="s">
        <v>653</v>
      </c>
      <c r="Z570" t="s">
        <v>47</v>
      </c>
      <c r="AA570"/>
      <c r="AB570"/>
      <c r="AC570"/>
      <c r="AD570"/>
    </row>
    <row r="571" spans="1:30">
      <c r="A571">
        <v>2110060175</v>
      </c>
      <c r="B571" t="s">
        <v>30</v>
      </c>
      <c r="C571" t="s">
        <v>31</v>
      </c>
      <c r="D571" t="s">
        <v>32</v>
      </c>
      <c r="E571" t="s">
        <v>93</v>
      </c>
      <c r="F571" t="s">
        <v>64</v>
      </c>
      <c r="G571" t="s">
        <v>99</v>
      </c>
      <c r="H571" t="s">
        <v>50</v>
      </c>
      <c r="I571" t="s">
        <v>408</v>
      </c>
      <c r="J571" t="s">
        <v>409</v>
      </c>
      <c r="K571" t="str">
        <f>"mzj10D16579"</f>
        <v>0</v>
      </c>
      <c r="L571">
        <v>86400</v>
      </c>
      <c r="M571"/>
      <c r="N571" t="s">
        <v>38</v>
      </c>
      <c r="O571" t="s">
        <v>38</v>
      </c>
      <c r="P571" t="s">
        <v>53</v>
      </c>
      <c r="Q571" t="s">
        <v>38</v>
      </c>
      <c r="R571" t="s">
        <v>38</v>
      </c>
      <c r="S571" t="s">
        <v>42</v>
      </c>
      <c r="T571" t="s">
        <v>42</v>
      </c>
      <c r="U571" t="s">
        <v>719</v>
      </c>
      <c r="V571" t="s">
        <v>44</v>
      </c>
      <c r="W571" t="s">
        <v>719</v>
      </c>
      <c r="X571" t="s">
        <v>45</v>
      </c>
      <c r="Y571" t="s">
        <v>653</v>
      </c>
      <c r="Z571" t="s">
        <v>47</v>
      </c>
      <c r="AA571"/>
      <c r="AB571"/>
      <c r="AC571"/>
      <c r="AD571"/>
    </row>
    <row r="572" spans="1:30">
      <c r="A572">
        <v>2110060174</v>
      </c>
      <c r="B572" t="s">
        <v>30</v>
      </c>
      <c r="C572" t="s">
        <v>31</v>
      </c>
      <c r="D572" t="s">
        <v>32</v>
      </c>
      <c r="E572" t="s">
        <v>93</v>
      </c>
      <c r="F572" t="s">
        <v>64</v>
      </c>
      <c r="G572" t="s">
        <v>99</v>
      </c>
      <c r="H572" t="s">
        <v>50</v>
      </c>
      <c r="I572" t="s">
        <v>417</v>
      </c>
      <c r="J572" t="s">
        <v>769</v>
      </c>
      <c r="K572" t="str">
        <f>"210302394"</f>
        <v>0</v>
      </c>
      <c r="L572">
        <v>38047</v>
      </c>
      <c r="M572"/>
      <c r="N572" t="s">
        <v>38</v>
      </c>
      <c r="O572" t="s">
        <v>38</v>
      </c>
      <c r="P572" t="s">
        <v>53</v>
      </c>
      <c r="Q572" t="s">
        <v>38</v>
      </c>
      <c r="R572" t="s">
        <v>38</v>
      </c>
      <c r="S572" t="s">
        <v>42</v>
      </c>
      <c r="T572" t="s">
        <v>42</v>
      </c>
      <c r="U572" t="s">
        <v>719</v>
      </c>
      <c r="V572" t="s">
        <v>44</v>
      </c>
      <c r="W572" t="s">
        <v>719</v>
      </c>
      <c r="X572" t="s">
        <v>45</v>
      </c>
      <c r="Y572" t="s">
        <v>653</v>
      </c>
      <c r="Z572" t="s">
        <v>47</v>
      </c>
      <c r="AA572"/>
      <c r="AB572"/>
      <c r="AC572"/>
      <c r="AD572"/>
    </row>
    <row r="573" spans="1:30">
      <c r="A573">
        <v>2110060198</v>
      </c>
      <c r="B573" t="s">
        <v>30</v>
      </c>
      <c r="C573" t="s">
        <v>31</v>
      </c>
      <c r="D573" t="s">
        <v>32</v>
      </c>
      <c r="E573" t="s">
        <v>654</v>
      </c>
      <c r="F573" t="s">
        <v>64</v>
      </c>
      <c r="G573" t="s">
        <v>99</v>
      </c>
      <c r="H573" t="s">
        <v>50</v>
      </c>
      <c r="I573" t="s">
        <v>466</v>
      </c>
      <c r="J573" t="s">
        <v>467</v>
      </c>
      <c r="K573" t="str">
        <f>"Dm210513263"</f>
        <v>0</v>
      </c>
      <c r="L573">
        <v>36000</v>
      </c>
      <c r="M573"/>
      <c r="N573" t="s">
        <v>38</v>
      </c>
      <c r="O573" t="s">
        <v>38</v>
      </c>
      <c r="P573" t="s">
        <v>53</v>
      </c>
      <c r="Q573" t="s">
        <v>38</v>
      </c>
      <c r="R573" t="s">
        <v>38</v>
      </c>
      <c r="S573" t="s">
        <v>42</v>
      </c>
      <c r="T573" t="s">
        <v>42</v>
      </c>
      <c r="U573" t="s">
        <v>719</v>
      </c>
      <c r="V573" t="s">
        <v>44</v>
      </c>
      <c r="W573" t="s">
        <v>719</v>
      </c>
      <c r="X573" t="s">
        <v>45</v>
      </c>
      <c r="Y573" t="s">
        <v>656</v>
      </c>
      <c r="Z573" t="s">
        <v>47</v>
      </c>
      <c r="AA573"/>
      <c r="AB573"/>
      <c r="AC573"/>
      <c r="AD573"/>
    </row>
    <row r="574" spans="1:30">
      <c r="A574">
        <v>2110060210</v>
      </c>
      <c r="B574" t="s">
        <v>30</v>
      </c>
      <c r="C574" t="s">
        <v>31</v>
      </c>
      <c r="D574" t="s">
        <v>32</v>
      </c>
      <c r="E574" t="s">
        <v>654</v>
      </c>
      <c r="F574" t="s">
        <v>64</v>
      </c>
      <c r="G574" t="s">
        <v>99</v>
      </c>
      <c r="H574" t="s">
        <v>50</v>
      </c>
      <c r="I574" t="s">
        <v>466</v>
      </c>
      <c r="J574" t="s">
        <v>467</v>
      </c>
      <c r="K574" t="str">
        <f>"Dm210513388"</f>
        <v>0</v>
      </c>
      <c r="L574">
        <v>36000</v>
      </c>
      <c r="M574"/>
      <c r="N574" t="s">
        <v>38</v>
      </c>
      <c r="O574" t="s">
        <v>38</v>
      </c>
      <c r="P574" t="s">
        <v>53</v>
      </c>
      <c r="Q574" t="s">
        <v>38</v>
      </c>
      <c r="R574" t="s">
        <v>38</v>
      </c>
      <c r="S574" t="s">
        <v>42</v>
      </c>
      <c r="T574" t="s">
        <v>42</v>
      </c>
      <c r="U574" t="s">
        <v>719</v>
      </c>
      <c r="V574" t="s">
        <v>44</v>
      </c>
      <c r="W574" t="s">
        <v>719</v>
      </c>
      <c r="X574" t="s">
        <v>45</v>
      </c>
      <c r="Y574" t="s">
        <v>656</v>
      </c>
      <c r="Z574" t="s">
        <v>47</v>
      </c>
      <c r="AA574"/>
      <c r="AB574"/>
      <c r="AC574"/>
      <c r="AD574"/>
    </row>
    <row r="575" spans="1:30">
      <c r="A575">
        <v>2110060212</v>
      </c>
      <c r="B575" t="s">
        <v>30</v>
      </c>
      <c r="C575" t="s">
        <v>31</v>
      </c>
      <c r="D575" t="s">
        <v>32</v>
      </c>
      <c r="E575" t="s">
        <v>79</v>
      </c>
      <c r="F575" t="s">
        <v>64</v>
      </c>
      <c r="G575" t="s">
        <v>99</v>
      </c>
      <c r="H575" t="s">
        <v>50</v>
      </c>
      <c r="I575" t="s">
        <v>466</v>
      </c>
      <c r="J575" t="s">
        <v>467</v>
      </c>
      <c r="K575" t="str">
        <f>"dm210513332"</f>
        <v>0</v>
      </c>
      <c r="L575">
        <v>36000</v>
      </c>
      <c r="M575"/>
      <c r="N575" t="s">
        <v>38</v>
      </c>
      <c r="O575" t="s">
        <v>38</v>
      </c>
      <c r="P575" t="s">
        <v>53</v>
      </c>
      <c r="Q575" t="s">
        <v>38</v>
      </c>
      <c r="R575" t="s">
        <v>38</v>
      </c>
      <c r="S575" t="s">
        <v>42</v>
      </c>
      <c r="T575" t="s">
        <v>42</v>
      </c>
      <c r="U575" t="s">
        <v>719</v>
      </c>
      <c r="V575" t="s">
        <v>44</v>
      </c>
      <c r="W575" t="s">
        <v>719</v>
      </c>
      <c r="X575" t="s">
        <v>45</v>
      </c>
      <c r="Y575" t="s">
        <v>673</v>
      </c>
      <c r="Z575" t="s">
        <v>47</v>
      </c>
      <c r="AA575"/>
      <c r="AB575"/>
      <c r="AC575"/>
      <c r="AD575"/>
    </row>
    <row r="576" spans="1:30">
      <c r="A576">
        <v>2110060215</v>
      </c>
      <c r="B576" t="s">
        <v>30</v>
      </c>
      <c r="C576" t="s">
        <v>31</v>
      </c>
      <c r="D576" t="s">
        <v>32</v>
      </c>
      <c r="E576" t="s">
        <v>79</v>
      </c>
      <c r="F576" t="s">
        <v>64</v>
      </c>
      <c r="G576" t="s">
        <v>99</v>
      </c>
      <c r="H576" t="s">
        <v>50</v>
      </c>
      <c r="I576" t="s">
        <v>408</v>
      </c>
      <c r="J576" t="s">
        <v>770</v>
      </c>
      <c r="K576" t="str">
        <f>"Mzj10D14055"</f>
        <v>0</v>
      </c>
      <c r="L576">
        <v>86400</v>
      </c>
      <c r="M576"/>
      <c r="N576" t="s">
        <v>38</v>
      </c>
      <c r="O576" t="s">
        <v>38</v>
      </c>
      <c r="P576" t="s">
        <v>53</v>
      </c>
      <c r="Q576" t="s">
        <v>38</v>
      </c>
      <c r="R576" t="s">
        <v>38</v>
      </c>
      <c r="S576" t="s">
        <v>42</v>
      </c>
      <c r="T576" t="s">
        <v>42</v>
      </c>
      <c r="U576" t="s">
        <v>719</v>
      </c>
      <c r="V576" t="s">
        <v>44</v>
      </c>
      <c r="W576" t="s">
        <v>719</v>
      </c>
      <c r="X576" t="s">
        <v>45</v>
      </c>
      <c r="Y576" t="s">
        <v>673</v>
      </c>
      <c r="Z576" t="s">
        <v>47</v>
      </c>
      <c r="AA576"/>
      <c r="AB576"/>
      <c r="AC576"/>
      <c r="AD576"/>
    </row>
    <row r="577" spans="1:30">
      <c r="A577">
        <v>3110110017</v>
      </c>
      <c r="B577" t="s">
        <v>30</v>
      </c>
      <c r="C577" t="s">
        <v>61</v>
      </c>
      <c r="D577" t="s">
        <v>62</v>
      </c>
      <c r="E577" t="s">
        <v>135</v>
      </c>
      <c r="F577" t="s">
        <v>118</v>
      </c>
      <c r="G577" t="s">
        <v>657</v>
      </c>
      <c r="H577" t="s">
        <v>35</v>
      </c>
      <c r="I577" t="s">
        <v>771</v>
      </c>
      <c r="J577" t="s">
        <v>315</v>
      </c>
      <c r="K577" t="str">
        <f>"na"</f>
        <v>0</v>
      </c>
      <c r="L577">
        <v>175000</v>
      </c>
      <c r="M577"/>
      <c r="N577" t="s">
        <v>38</v>
      </c>
      <c r="O577" t="s">
        <v>38</v>
      </c>
      <c r="P577" t="s">
        <v>53</v>
      </c>
      <c r="Q577" t="s">
        <v>38</v>
      </c>
      <c r="R577" t="s">
        <v>38</v>
      </c>
      <c r="S577" t="s">
        <v>42</v>
      </c>
      <c r="T577" t="s">
        <v>42</v>
      </c>
      <c r="U577" t="s">
        <v>719</v>
      </c>
      <c r="V577" t="s">
        <v>44</v>
      </c>
      <c r="W577" t="s">
        <v>719</v>
      </c>
      <c r="X577" t="s">
        <v>45</v>
      </c>
      <c r="Y577" t="s">
        <v>772</v>
      </c>
      <c r="Z577" t="s">
        <v>47</v>
      </c>
      <c r="AA577"/>
      <c r="AB577"/>
      <c r="AC577"/>
      <c r="AD577"/>
    </row>
    <row r="578" spans="1:30">
      <c r="A578">
        <v>3110110004</v>
      </c>
      <c r="B578" t="s">
        <v>30</v>
      </c>
      <c r="C578" t="s">
        <v>61</v>
      </c>
      <c r="D578" t="s">
        <v>62</v>
      </c>
      <c r="E578" t="s">
        <v>48</v>
      </c>
      <c r="F578" t="s">
        <v>48</v>
      </c>
      <c r="G578" t="s">
        <v>431</v>
      </c>
      <c r="H578" t="s">
        <v>35</v>
      </c>
      <c r="I578" t="s">
        <v>773</v>
      </c>
      <c r="J578" t="s">
        <v>774</v>
      </c>
      <c r="K578" t="str">
        <f>"0821025201099"</f>
        <v>0</v>
      </c>
      <c r="L578">
        <v>400000</v>
      </c>
      <c r="M578"/>
      <c r="N578" t="s">
        <v>38</v>
      </c>
      <c r="O578" t="s">
        <v>38</v>
      </c>
      <c r="P578" t="s">
        <v>53</v>
      </c>
      <c r="Q578" t="s">
        <v>38</v>
      </c>
      <c r="R578" t="s">
        <v>38</v>
      </c>
      <c r="S578" t="s">
        <v>42</v>
      </c>
      <c r="T578" t="s">
        <v>42</v>
      </c>
      <c r="U578" t="s">
        <v>719</v>
      </c>
      <c r="V578" t="s">
        <v>44</v>
      </c>
      <c r="W578" t="s">
        <v>719</v>
      </c>
      <c r="X578" t="s">
        <v>45</v>
      </c>
      <c r="Y578" t="s">
        <v>720</v>
      </c>
      <c r="Z578" t="s">
        <v>47</v>
      </c>
      <c r="AA578"/>
      <c r="AB578"/>
      <c r="AC578"/>
      <c r="AD578"/>
    </row>
    <row r="579" spans="1:30">
      <c r="A579">
        <v>2110060225</v>
      </c>
      <c r="B579" t="s">
        <v>30</v>
      </c>
      <c r="C579" t="s">
        <v>31</v>
      </c>
      <c r="D579" t="s">
        <v>32</v>
      </c>
      <c r="E579" t="s">
        <v>135</v>
      </c>
      <c r="F579" t="s">
        <v>48</v>
      </c>
      <c r="G579" t="s">
        <v>203</v>
      </c>
      <c r="H579" t="s">
        <v>50</v>
      </c>
      <c r="I579" t="s">
        <v>173</v>
      </c>
      <c r="J579" t="s">
        <v>775</v>
      </c>
      <c r="K579" t="str">
        <f>"kalc 1301"</f>
        <v>0</v>
      </c>
      <c r="L579">
        <v>30975</v>
      </c>
      <c r="M579"/>
      <c r="N579" t="s">
        <v>38</v>
      </c>
      <c r="O579" t="s">
        <v>38</v>
      </c>
      <c r="P579" t="s">
        <v>53</v>
      </c>
      <c r="Q579" t="s">
        <v>38</v>
      </c>
      <c r="R579" t="s">
        <v>38</v>
      </c>
      <c r="S579" t="s">
        <v>42</v>
      </c>
      <c r="T579" t="s">
        <v>42</v>
      </c>
      <c r="U579" t="s">
        <v>719</v>
      </c>
      <c r="V579" t="s">
        <v>44</v>
      </c>
      <c r="W579" t="s">
        <v>719</v>
      </c>
      <c r="X579" t="s">
        <v>45</v>
      </c>
      <c r="Y579" t="s">
        <v>664</v>
      </c>
      <c r="Z579" t="s">
        <v>47</v>
      </c>
      <c r="AA579"/>
      <c r="AB579"/>
      <c r="AC579"/>
      <c r="AD579"/>
    </row>
    <row r="580" spans="1:30">
      <c r="A580">
        <v>2110060222</v>
      </c>
      <c r="B580" t="s">
        <v>30</v>
      </c>
      <c r="C580" t="s">
        <v>31</v>
      </c>
      <c r="D580" t="s">
        <v>32</v>
      </c>
      <c r="E580" t="s">
        <v>135</v>
      </c>
      <c r="F580" t="s">
        <v>48</v>
      </c>
      <c r="G580" t="s">
        <v>657</v>
      </c>
      <c r="H580" t="s">
        <v>35</v>
      </c>
      <c r="I580" t="s">
        <v>173</v>
      </c>
      <c r="J580" t="s">
        <v>315</v>
      </c>
      <c r="K580" t="str">
        <f>"zhgr-26928"</f>
        <v>0</v>
      </c>
      <c r="L580">
        <v>175000</v>
      </c>
      <c r="M580"/>
      <c r="N580" t="s">
        <v>38</v>
      </c>
      <c r="O580" t="s">
        <v>38</v>
      </c>
      <c r="P580" t="s">
        <v>53</v>
      </c>
      <c r="Q580" t="s">
        <v>38</v>
      </c>
      <c r="R580" t="s">
        <v>38</v>
      </c>
      <c r="S580" t="s">
        <v>42</v>
      </c>
      <c r="T580" t="s">
        <v>42</v>
      </c>
      <c r="U580" t="s">
        <v>719</v>
      </c>
      <c r="V580" t="s">
        <v>44</v>
      </c>
      <c r="W580" t="s">
        <v>719</v>
      </c>
      <c r="X580" t="s">
        <v>45</v>
      </c>
      <c r="Y580" t="s">
        <v>664</v>
      </c>
      <c r="Z580" t="s">
        <v>47</v>
      </c>
      <c r="AA580"/>
      <c r="AB580"/>
      <c r="AC580"/>
      <c r="AD580"/>
    </row>
    <row r="581" spans="1:30">
      <c r="A581">
        <v>3110110016</v>
      </c>
      <c r="B581" t="s">
        <v>30</v>
      </c>
      <c r="C581" t="s">
        <v>61</v>
      </c>
      <c r="D581" t="s">
        <v>62</v>
      </c>
      <c r="E581" t="s">
        <v>135</v>
      </c>
      <c r="F581" t="s">
        <v>48</v>
      </c>
      <c r="G581" t="s">
        <v>203</v>
      </c>
      <c r="H581" t="s">
        <v>50</v>
      </c>
      <c r="I581" t="s">
        <v>173</v>
      </c>
      <c r="J581" t="s">
        <v>776</v>
      </c>
      <c r="K581" t="str">
        <f>"cblc- 2720"</f>
        <v>0</v>
      </c>
      <c r="L581">
        <v>30975</v>
      </c>
      <c r="M581"/>
      <c r="N581" t="s">
        <v>38</v>
      </c>
      <c r="O581" t="s">
        <v>38</v>
      </c>
      <c r="P581" t="s">
        <v>53</v>
      </c>
      <c r="Q581" t="s">
        <v>38</v>
      </c>
      <c r="R581" t="s">
        <v>38</v>
      </c>
      <c r="S581" t="s">
        <v>42</v>
      </c>
      <c r="T581" t="s">
        <v>42</v>
      </c>
      <c r="U581" t="s">
        <v>719</v>
      </c>
      <c r="V581" t="s">
        <v>44</v>
      </c>
      <c r="W581" t="s">
        <v>719</v>
      </c>
      <c r="X581" t="s">
        <v>45</v>
      </c>
      <c r="Y581" t="s">
        <v>725</v>
      </c>
      <c r="Z581" t="s">
        <v>47</v>
      </c>
      <c r="AA581"/>
      <c r="AB581"/>
      <c r="AC581"/>
      <c r="AD581"/>
    </row>
    <row r="582" spans="1:30">
      <c r="A582">
        <v>2110060218</v>
      </c>
      <c r="B582" t="s">
        <v>30</v>
      </c>
      <c r="C582" t="s">
        <v>31</v>
      </c>
      <c r="D582" t="s">
        <v>32</v>
      </c>
      <c r="E582" t="s">
        <v>79</v>
      </c>
      <c r="F582" t="s">
        <v>143</v>
      </c>
      <c r="G582" t="s">
        <v>377</v>
      </c>
      <c r="H582" t="s">
        <v>50</v>
      </c>
      <c r="I582" t="s">
        <v>747</v>
      </c>
      <c r="J582" t="s">
        <v>777</v>
      </c>
      <c r="K582" t="str">
        <f>"308"</f>
        <v>0</v>
      </c>
      <c r="L582">
        <v>70000</v>
      </c>
      <c r="M582"/>
      <c r="N582" t="s">
        <v>38</v>
      </c>
      <c r="O582" t="s">
        <v>38</v>
      </c>
      <c r="P582" t="s">
        <v>53</v>
      </c>
      <c r="Q582" t="s">
        <v>38</v>
      </c>
      <c r="R582" t="s">
        <v>38</v>
      </c>
      <c r="S582" t="s">
        <v>42</v>
      </c>
      <c r="T582" t="s">
        <v>42</v>
      </c>
      <c r="U582" t="s">
        <v>719</v>
      </c>
      <c r="V582" t="s">
        <v>44</v>
      </c>
      <c r="W582" t="s">
        <v>719</v>
      </c>
      <c r="X582" t="s">
        <v>45</v>
      </c>
      <c r="Y582" t="s">
        <v>673</v>
      </c>
      <c r="Z582" t="s">
        <v>47</v>
      </c>
      <c r="AA582"/>
      <c r="AB582"/>
      <c r="AC582"/>
      <c r="AD582"/>
    </row>
    <row r="583" spans="1:30">
      <c r="A583">
        <v>2110060216</v>
      </c>
      <c r="B583" t="s">
        <v>30</v>
      </c>
      <c r="C583" t="s">
        <v>31</v>
      </c>
      <c r="D583" t="s">
        <v>32</v>
      </c>
      <c r="E583" t="s">
        <v>79</v>
      </c>
      <c r="F583" t="s">
        <v>143</v>
      </c>
      <c r="G583" t="s">
        <v>377</v>
      </c>
      <c r="H583" t="s">
        <v>50</v>
      </c>
      <c r="I583" t="s">
        <v>747</v>
      </c>
      <c r="J583" t="s">
        <v>777</v>
      </c>
      <c r="K583" t="str">
        <f>"309"</f>
        <v>0</v>
      </c>
      <c r="L583">
        <v>70000</v>
      </c>
      <c r="M583"/>
      <c r="N583" t="s">
        <v>38</v>
      </c>
      <c r="O583" t="s">
        <v>38</v>
      </c>
      <c r="P583" t="s">
        <v>53</v>
      </c>
      <c r="Q583" t="s">
        <v>38</v>
      </c>
      <c r="R583" t="s">
        <v>38</v>
      </c>
      <c r="S583" t="s">
        <v>42</v>
      </c>
      <c r="T583" t="s">
        <v>42</v>
      </c>
      <c r="U583" t="s">
        <v>719</v>
      </c>
      <c r="V583" t="s">
        <v>44</v>
      </c>
      <c r="W583" t="s">
        <v>719</v>
      </c>
      <c r="X583" t="s">
        <v>45</v>
      </c>
      <c r="Y583" t="s">
        <v>673</v>
      </c>
      <c r="Z583" t="s">
        <v>47</v>
      </c>
      <c r="AA583"/>
      <c r="AB583"/>
      <c r="AC583"/>
      <c r="AD583"/>
    </row>
    <row r="584" spans="1:30">
      <c r="A584">
        <v>2110060217</v>
      </c>
      <c r="B584" t="s">
        <v>30</v>
      </c>
      <c r="C584" t="s">
        <v>31</v>
      </c>
      <c r="D584" t="s">
        <v>32</v>
      </c>
      <c r="E584" t="s">
        <v>79</v>
      </c>
      <c r="F584" t="s">
        <v>143</v>
      </c>
      <c r="G584" t="s">
        <v>377</v>
      </c>
      <c r="H584" t="s">
        <v>50</v>
      </c>
      <c r="I584" t="s">
        <v>747</v>
      </c>
      <c r="J584" t="s">
        <v>777</v>
      </c>
      <c r="K584" t="str">
        <f>"310"</f>
        <v>0</v>
      </c>
      <c r="L584">
        <v>70000</v>
      </c>
      <c r="M584"/>
      <c r="N584" t="s">
        <v>38</v>
      </c>
      <c r="O584" t="s">
        <v>38</v>
      </c>
      <c r="P584" t="s">
        <v>53</v>
      </c>
      <c r="Q584" t="s">
        <v>38</v>
      </c>
      <c r="R584" t="s">
        <v>38</v>
      </c>
      <c r="S584" t="s">
        <v>42</v>
      </c>
      <c r="T584" t="s">
        <v>42</v>
      </c>
      <c r="U584" t="s">
        <v>719</v>
      </c>
      <c r="V584" t="s">
        <v>44</v>
      </c>
      <c r="W584" t="s">
        <v>719</v>
      </c>
      <c r="X584" t="s">
        <v>45</v>
      </c>
      <c r="Y584" t="s">
        <v>673</v>
      </c>
      <c r="Z584" t="s">
        <v>47</v>
      </c>
      <c r="AA584"/>
      <c r="AB584"/>
      <c r="AC584"/>
      <c r="AD584"/>
    </row>
    <row r="585" spans="1:30">
      <c r="A585">
        <v>2110060223</v>
      </c>
      <c r="B585" t="s">
        <v>30</v>
      </c>
      <c r="C585" t="s">
        <v>31</v>
      </c>
      <c r="D585" t="s">
        <v>32</v>
      </c>
      <c r="E585" t="s">
        <v>135</v>
      </c>
      <c r="F585" t="s">
        <v>48</v>
      </c>
      <c r="G585" t="s">
        <v>136</v>
      </c>
      <c r="H585" t="s">
        <v>50</v>
      </c>
      <c r="I585" t="s">
        <v>254</v>
      </c>
      <c r="J585" t="s">
        <v>59</v>
      </c>
      <c r="K585" t="str">
        <f>"na"</f>
        <v>0</v>
      </c>
      <c r="L585">
        <v>350000</v>
      </c>
      <c r="M585"/>
      <c r="N585" t="s">
        <v>38</v>
      </c>
      <c r="O585" t="s">
        <v>38</v>
      </c>
      <c r="P585" t="s">
        <v>53</v>
      </c>
      <c r="Q585" t="s">
        <v>38</v>
      </c>
      <c r="R585" t="s">
        <v>38</v>
      </c>
      <c r="S585" t="s">
        <v>42</v>
      </c>
      <c r="T585" t="s">
        <v>42</v>
      </c>
      <c r="U585" t="s">
        <v>719</v>
      </c>
      <c r="V585" t="s">
        <v>44</v>
      </c>
      <c r="W585" t="s">
        <v>719</v>
      </c>
      <c r="X585" t="s">
        <v>45</v>
      </c>
      <c r="Y585" t="s">
        <v>664</v>
      </c>
      <c r="Z585" t="s">
        <v>47</v>
      </c>
      <c r="AA585"/>
      <c r="AB585"/>
      <c r="AC585"/>
      <c r="AD585"/>
    </row>
    <row r="586" spans="1:30">
      <c r="A586">
        <v>3110110034</v>
      </c>
      <c r="B586" t="s">
        <v>30</v>
      </c>
      <c r="C586" t="s">
        <v>61</v>
      </c>
      <c r="D586" t="s">
        <v>62</v>
      </c>
      <c r="E586" t="s">
        <v>55</v>
      </c>
      <c r="F586" t="s">
        <v>166</v>
      </c>
      <c r="G586" t="s">
        <v>247</v>
      </c>
      <c r="H586" t="s">
        <v>50</v>
      </c>
      <c r="I586" t="s">
        <v>778</v>
      </c>
      <c r="J586" t="s">
        <v>779</v>
      </c>
      <c r="K586" t="str">
        <f>"po-Tgsa-0044"</f>
        <v>0</v>
      </c>
      <c r="L586">
        <v>29169</v>
      </c>
      <c r="M586"/>
      <c r="N586" t="s">
        <v>38</v>
      </c>
      <c r="O586" t="s">
        <v>38</v>
      </c>
      <c r="P586" t="s">
        <v>53</v>
      </c>
      <c r="Q586" t="s">
        <v>38</v>
      </c>
      <c r="R586" t="s">
        <v>38</v>
      </c>
      <c r="S586" t="s">
        <v>42</v>
      </c>
      <c r="T586" t="s">
        <v>42</v>
      </c>
      <c r="U586" t="s">
        <v>719</v>
      </c>
      <c r="V586" t="s">
        <v>44</v>
      </c>
      <c r="W586" t="s">
        <v>719</v>
      </c>
      <c r="X586" t="s">
        <v>45</v>
      </c>
      <c r="Y586" t="s">
        <v>720</v>
      </c>
      <c r="Z586" t="s">
        <v>47</v>
      </c>
      <c r="AA586"/>
      <c r="AB586"/>
      <c r="AC586"/>
      <c r="AD586"/>
    </row>
    <row r="587" spans="1:30">
      <c r="A587">
        <v>2110060214</v>
      </c>
      <c r="B587" t="s">
        <v>30</v>
      </c>
      <c r="C587" t="s">
        <v>31</v>
      </c>
      <c r="D587" t="s">
        <v>32</v>
      </c>
      <c r="E587" t="s">
        <v>79</v>
      </c>
      <c r="F587" t="s">
        <v>94</v>
      </c>
      <c r="G587" t="s">
        <v>95</v>
      </c>
      <c r="H587" t="s">
        <v>35</v>
      </c>
      <c r="I587" t="s">
        <v>82</v>
      </c>
      <c r="J587" t="s">
        <v>526</v>
      </c>
      <c r="K587" t="str">
        <f>"6814"</f>
        <v>0</v>
      </c>
      <c r="L587">
        <v>69636</v>
      </c>
      <c r="M587"/>
      <c r="N587" t="s">
        <v>38</v>
      </c>
      <c r="O587" t="s">
        <v>38</v>
      </c>
      <c r="P587" t="s">
        <v>53</v>
      </c>
      <c r="Q587" t="s">
        <v>38</v>
      </c>
      <c r="R587" t="s">
        <v>38</v>
      </c>
      <c r="S587" t="s">
        <v>42</v>
      </c>
      <c r="T587" t="s">
        <v>42</v>
      </c>
      <c r="U587" t="s">
        <v>719</v>
      </c>
      <c r="V587" t="s">
        <v>44</v>
      </c>
      <c r="W587" t="s">
        <v>719</v>
      </c>
      <c r="X587" t="s">
        <v>45</v>
      </c>
      <c r="Y587" t="s">
        <v>673</v>
      </c>
      <c r="Z587" t="s">
        <v>47</v>
      </c>
      <c r="AA587"/>
      <c r="AB587"/>
      <c r="AC587"/>
      <c r="AD587"/>
    </row>
    <row r="588" spans="1:30">
      <c r="A588">
        <v>3110100038</v>
      </c>
      <c r="B588" t="s">
        <v>30</v>
      </c>
      <c r="C588" t="s">
        <v>61</v>
      </c>
      <c r="D588" t="s">
        <v>71</v>
      </c>
      <c r="E588" t="s">
        <v>55</v>
      </c>
      <c r="F588" t="s">
        <v>108</v>
      </c>
      <c r="G588" t="s">
        <v>109</v>
      </c>
      <c r="H588" t="s">
        <v>50</v>
      </c>
      <c r="I588" t="s">
        <v>100</v>
      </c>
      <c r="J588" t="s">
        <v>315</v>
      </c>
      <c r="K588" t="str">
        <f>"na"</f>
        <v>0</v>
      </c>
      <c r="L588">
        <v>10000</v>
      </c>
      <c r="M588"/>
      <c r="N588" t="s">
        <v>38</v>
      </c>
      <c r="O588" t="s">
        <v>38</v>
      </c>
      <c r="P588" t="s">
        <v>53</v>
      </c>
      <c r="Q588" t="s">
        <v>38</v>
      </c>
      <c r="R588" t="s">
        <v>38</v>
      </c>
      <c r="S588" t="s">
        <v>42</v>
      </c>
      <c r="T588" t="s">
        <v>42</v>
      </c>
      <c r="U588" t="s">
        <v>719</v>
      </c>
      <c r="V588" t="s">
        <v>636</v>
      </c>
      <c r="W588" t="s">
        <v>719</v>
      </c>
      <c r="X588" t="s">
        <v>45</v>
      </c>
      <c r="Y588" t="s">
        <v>748</v>
      </c>
      <c r="Z588" t="s">
        <v>47</v>
      </c>
      <c r="AA588"/>
      <c r="AB588"/>
      <c r="AC588"/>
      <c r="AD588" t="s">
        <v>638</v>
      </c>
    </row>
    <row r="589" spans="1:30">
      <c r="A589">
        <v>3110100037</v>
      </c>
      <c r="B589" t="s">
        <v>30</v>
      </c>
      <c r="C589" t="s">
        <v>61</v>
      </c>
      <c r="D589" t="s">
        <v>71</v>
      </c>
      <c r="E589" t="s">
        <v>55</v>
      </c>
      <c r="F589" t="s">
        <v>108</v>
      </c>
      <c r="G589" t="s">
        <v>109</v>
      </c>
      <c r="H589" t="s">
        <v>50</v>
      </c>
      <c r="I589" t="s">
        <v>780</v>
      </c>
      <c r="J589" t="s">
        <v>781</v>
      </c>
      <c r="K589" t="str">
        <f>"na"</f>
        <v>0</v>
      </c>
      <c r="L589">
        <v>10000</v>
      </c>
      <c r="M589"/>
      <c r="N589" t="s">
        <v>38</v>
      </c>
      <c r="O589" t="s">
        <v>38</v>
      </c>
      <c r="P589" t="s">
        <v>53</v>
      </c>
      <c r="Q589" t="s">
        <v>38</v>
      </c>
      <c r="R589" t="s">
        <v>38</v>
      </c>
      <c r="S589" t="s">
        <v>42</v>
      </c>
      <c r="T589" t="s">
        <v>42</v>
      </c>
      <c r="U589" t="s">
        <v>719</v>
      </c>
      <c r="V589" t="s">
        <v>636</v>
      </c>
      <c r="W589" t="s">
        <v>719</v>
      </c>
      <c r="X589" t="s">
        <v>45</v>
      </c>
      <c r="Y589" t="s">
        <v>748</v>
      </c>
      <c r="Z589" t="s">
        <v>47</v>
      </c>
      <c r="AA589"/>
      <c r="AB589"/>
      <c r="AC589"/>
      <c r="AD589" t="s">
        <v>638</v>
      </c>
    </row>
    <row r="590" spans="1:30">
      <c r="A590">
        <v>3110100034</v>
      </c>
      <c r="B590" t="s">
        <v>30</v>
      </c>
      <c r="C590" t="s">
        <v>61</v>
      </c>
      <c r="D590" t="s">
        <v>71</v>
      </c>
      <c r="E590" t="s">
        <v>55</v>
      </c>
      <c r="F590" t="s">
        <v>166</v>
      </c>
      <c r="G590" t="s">
        <v>167</v>
      </c>
      <c r="H590" t="s">
        <v>35</v>
      </c>
      <c r="I590" t="s">
        <v>311</v>
      </c>
      <c r="J590" t="s">
        <v>487</v>
      </c>
      <c r="K590" t="str">
        <f>"DE671G1684"</f>
        <v>0</v>
      </c>
      <c r="L590">
        <v>529100</v>
      </c>
      <c r="M590"/>
      <c r="N590" t="s">
        <v>38</v>
      </c>
      <c r="O590" t="s">
        <v>38</v>
      </c>
      <c r="P590" t="s">
        <v>53</v>
      </c>
      <c r="Q590" t="s">
        <v>38</v>
      </c>
      <c r="R590" t="s">
        <v>38</v>
      </c>
      <c r="S590" t="s">
        <v>42</v>
      </c>
      <c r="T590" t="s">
        <v>42</v>
      </c>
      <c r="U590" t="s">
        <v>719</v>
      </c>
      <c r="V590" t="s">
        <v>636</v>
      </c>
      <c r="W590" t="s">
        <v>719</v>
      </c>
      <c r="X590" t="s">
        <v>45</v>
      </c>
      <c r="Y590" t="s">
        <v>748</v>
      </c>
      <c r="Z590" t="s">
        <v>47</v>
      </c>
      <c r="AA590"/>
      <c r="AB590"/>
      <c r="AC590"/>
      <c r="AD590" t="s">
        <v>638</v>
      </c>
    </row>
    <row r="591" spans="1:30">
      <c r="A591">
        <v>2110060246</v>
      </c>
      <c r="B591" t="s">
        <v>30</v>
      </c>
      <c r="C591" t="s">
        <v>31</v>
      </c>
      <c r="D591" t="s">
        <v>32</v>
      </c>
      <c r="E591" t="s">
        <v>79</v>
      </c>
      <c r="F591" t="s">
        <v>166</v>
      </c>
      <c r="G591" t="s">
        <v>167</v>
      </c>
      <c r="H591" t="s">
        <v>35</v>
      </c>
      <c r="I591" t="s">
        <v>311</v>
      </c>
      <c r="J591" t="s">
        <v>315</v>
      </c>
      <c r="K591" t="str">
        <f>"De7580A15c"</f>
        <v>0</v>
      </c>
      <c r="L591">
        <v>529100</v>
      </c>
      <c r="M591"/>
      <c r="N591" t="s">
        <v>38</v>
      </c>
      <c r="O591" t="s">
        <v>38</v>
      </c>
      <c r="P591" t="s">
        <v>53</v>
      </c>
      <c r="Q591" t="s">
        <v>38</v>
      </c>
      <c r="R591" t="s">
        <v>38</v>
      </c>
      <c r="S591" t="s">
        <v>42</v>
      </c>
      <c r="T591" t="s">
        <v>42</v>
      </c>
      <c r="U591" t="s">
        <v>719</v>
      </c>
      <c r="V591" t="s">
        <v>44</v>
      </c>
      <c r="W591" t="s">
        <v>719</v>
      </c>
      <c r="X591" t="s">
        <v>45</v>
      </c>
      <c r="Y591" t="s">
        <v>782</v>
      </c>
      <c r="Z591" t="s">
        <v>47</v>
      </c>
      <c r="AA591"/>
      <c r="AB591"/>
      <c r="AC591"/>
      <c r="AD591"/>
    </row>
    <row r="592" spans="1:30">
      <c r="A592">
        <v>3110110122</v>
      </c>
      <c r="B592" t="s">
        <v>30</v>
      </c>
      <c r="C592" t="s">
        <v>61</v>
      </c>
      <c r="D592" t="s">
        <v>62</v>
      </c>
      <c r="E592" t="s">
        <v>339</v>
      </c>
      <c r="F592" t="s">
        <v>340</v>
      </c>
      <c r="G592" t="s">
        <v>665</v>
      </c>
      <c r="H592" t="s">
        <v>50</v>
      </c>
      <c r="I592" t="s">
        <v>783</v>
      </c>
      <c r="J592" t="s">
        <v>784</v>
      </c>
      <c r="K592" t="str">
        <f>"02199"</f>
        <v>0</v>
      </c>
      <c r="L592">
        <v>325000</v>
      </c>
      <c r="M592"/>
      <c r="N592" t="s">
        <v>38</v>
      </c>
      <c r="O592" t="s">
        <v>38</v>
      </c>
      <c r="P592" t="s">
        <v>53</v>
      </c>
      <c r="Q592" t="s">
        <v>38</v>
      </c>
      <c r="R592" t="s">
        <v>38</v>
      </c>
      <c r="S592" t="s">
        <v>42</v>
      </c>
      <c r="T592" t="s">
        <v>42</v>
      </c>
      <c r="U592" t="s">
        <v>782</v>
      </c>
      <c r="V592" t="s">
        <v>44</v>
      </c>
      <c r="W592" t="s">
        <v>782</v>
      </c>
      <c r="X592" t="s">
        <v>785</v>
      </c>
      <c r="Y592" t="s">
        <v>733</v>
      </c>
      <c r="Z592" t="s">
        <v>47</v>
      </c>
      <c r="AA592"/>
      <c r="AB592"/>
      <c r="AC592"/>
      <c r="AD592"/>
    </row>
    <row r="593" spans="1:30">
      <c r="A593">
        <v>3110100161</v>
      </c>
      <c r="B593" t="s">
        <v>30</v>
      </c>
      <c r="C593" t="s">
        <v>61</v>
      </c>
      <c r="D593" t="s">
        <v>71</v>
      </c>
      <c r="E593" t="s">
        <v>188</v>
      </c>
      <c r="F593" t="s">
        <v>188</v>
      </c>
      <c r="G593" t="s">
        <v>674</v>
      </c>
      <c r="H593" t="s">
        <v>50</v>
      </c>
      <c r="I593" t="s">
        <v>675</v>
      </c>
      <c r="J593" t="s">
        <v>786</v>
      </c>
      <c r="K593" t="str">
        <f>"na"</f>
        <v>0</v>
      </c>
      <c r="L593">
        <v>60000</v>
      </c>
      <c r="M593"/>
      <c r="N593" t="s">
        <v>38</v>
      </c>
      <c r="O593" t="s">
        <v>38</v>
      </c>
      <c r="P593" t="s">
        <v>53</v>
      </c>
      <c r="Q593" t="s">
        <v>38</v>
      </c>
      <c r="R593" t="s">
        <v>38</v>
      </c>
      <c r="S593" t="s">
        <v>42</v>
      </c>
      <c r="T593" t="s">
        <v>42</v>
      </c>
      <c r="U593" t="s">
        <v>787</v>
      </c>
      <c r="V593" t="s">
        <v>636</v>
      </c>
      <c r="W593" t="s">
        <v>787</v>
      </c>
      <c r="X593" t="s">
        <v>45</v>
      </c>
      <c r="Y593" t="s">
        <v>788</v>
      </c>
      <c r="Z593" t="s">
        <v>47</v>
      </c>
      <c r="AA593"/>
      <c r="AB593"/>
      <c r="AC593"/>
      <c r="AD593" t="s">
        <v>638</v>
      </c>
    </row>
    <row r="594" spans="1:30">
      <c r="A594">
        <v>3110100162</v>
      </c>
      <c r="B594" t="s">
        <v>30</v>
      </c>
      <c r="C594" t="s">
        <v>61</v>
      </c>
      <c r="D594" t="s">
        <v>71</v>
      </c>
      <c r="E594" t="s">
        <v>188</v>
      </c>
      <c r="F594" t="s">
        <v>188</v>
      </c>
      <c r="G594" t="s">
        <v>237</v>
      </c>
      <c r="H594" t="s">
        <v>50</v>
      </c>
      <c r="I594" t="s">
        <v>675</v>
      </c>
      <c r="J594" t="s">
        <v>789</v>
      </c>
      <c r="K594" t="str">
        <f>"na"</f>
        <v>0</v>
      </c>
      <c r="L594">
        <v>33075</v>
      </c>
      <c r="M594"/>
      <c r="N594" t="s">
        <v>38</v>
      </c>
      <c r="O594" t="s">
        <v>38</v>
      </c>
      <c r="P594" t="s">
        <v>53</v>
      </c>
      <c r="Q594" t="s">
        <v>38</v>
      </c>
      <c r="R594" t="s">
        <v>38</v>
      </c>
      <c r="S594" t="s">
        <v>42</v>
      </c>
      <c r="T594" t="s">
        <v>42</v>
      </c>
      <c r="U594" t="s">
        <v>787</v>
      </c>
      <c r="V594" t="s">
        <v>636</v>
      </c>
      <c r="W594" t="s">
        <v>787</v>
      </c>
      <c r="X594" t="s">
        <v>45</v>
      </c>
      <c r="Y594" t="s">
        <v>788</v>
      </c>
      <c r="Z594" t="s">
        <v>47</v>
      </c>
      <c r="AA594"/>
      <c r="AB594"/>
      <c r="AC594"/>
      <c r="AD594" t="s">
        <v>638</v>
      </c>
    </row>
    <row r="595" spans="1:30">
      <c r="A595">
        <v>3110100159</v>
      </c>
      <c r="B595" t="s">
        <v>30</v>
      </c>
      <c r="C595" t="s">
        <v>61</v>
      </c>
      <c r="D595" t="s">
        <v>71</v>
      </c>
      <c r="E595" t="s">
        <v>188</v>
      </c>
      <c r="F595" t="s">
        <v>188</v>
      </c>
      <c r="G595" t="s">
        <v>250</v>
      </c>
      <c r="H595" t="s">
        <v>50</v>
      </c>
      <c r="I595" t="s">
        <v>675</v>
      </c>
      <c r="J595" t="s">
        <v>790</v>
      </c>
      <c r="K595" t="str">
        <f>"1595"</f>
        <v>0</v>
      </c>
      <c r="L595">
        <v>33075</v>
      </c>
      <c r="M595"/>
      <c r="N595" t="s">
        <v>38</v>
      </c>
      <c r="O595" t="s">
        <v>38</v>
      </c>
      <c r="P595" t="s">
        <v>53</v>
      </c>
      <c r="Q595" t="s">
        <v>38</v>
      </c>
      <c r="R595" t="s">
        <v>38</v>
      </c>
      <c r="S595" t="s">
        <v>42</v>
      </c>
      <c r="T595" t="s">
        <v>42</v>
      </c>
      <c r="U595" t="s">
        <v>787</v>
      </c>
      <c r="V595" t="s">
        <v>636</v>
      </c>
      <c r="W595" t="s">
        <v>787</v>
      </c>
      <c r="X595" t="s">
        <v>45</v>
      </c>
      <c r="Y595" t="s">
        <v>788</v>
      </c>
      <c r="Z595" t="s">
        <v>47</v>
      </c>
      <c r="AA595"/>
      <c r="AB595"/>
      <c r="AC595"/>
      <c r="AD595" t="s">
        <v>638</v>
      </c>
    </row>
    <row r="596" spans="1:30">
      <c r="A596">
        <v>3110100160</v>
      </c>
      <c r="B596" t="s">
        <v>30</v>
      </c>
      <c r="C596" t="s">
        <v>61</v>
      </c>
      <c r="D596" t="s">
        <v>71</v>
      </c>
      <c r="E596" t="s">
        <v>188</v>
      </c>
      <c r="F596" t="s">
        <v>188</v>
      </c>
      <c r="G596" t="s">
        <v>242</v>
      </c>
      <c r="H596" t="s">
        <v>50</v>
      </c>
      <c r="I596" t="s">
        <v>141</v>
      </c>
      <c r="J596" t="s">
        <v>791</v>
      </c>
      <c r="K596" t="str">
        <f>"na"</f>
        <v>0</v>
      </c>
      <c r="L596">
        <v>159541</v>
      </c>
      <c r="M596"/>
      <c r="N596" t="s">
        <v>38</v>
      </c>
      <c r="O596" t="s">
        <v>38</v>
      </c>
      <c r="P596" t="s">
        <v>53</v>
      </c>
      <c r="Q596" t="s">
        <v>38</v>
      </c>
      <c r="R596" t="s">
        <v>38</v>
      </c>
      <c r="S596" t="s">
        <v>266</v>
      </c>
      <c r="T596" t="s">
        <v>266</v>
      </c>
      <c r="U596" t="s">
        <v>792</v>
      </c>
      <c r="V596" t="s">
        <v>636</v>
      </c>
      <c r="W596" t="s">
        <v>792</v>
      </c>
      <c r="X596" t="s">
        <v>45</v>
      </c>
      <c r="Y596" t="s">
        <v>788</v>
      </c>
      <c r="Z596" t="s">
        <v>70</v>
      </c>
      <c r="AA596"/>
      <c r="AB596"/>
      <c r="AC596"/>
      <c r="AD596" t="s">
        <v>638</v>
      </c>
    </row>
    <row r="597" spans="1:30">
      <c r="A597">
        <v>4110050037</v>
      </c>
      <c r="B597" t="s">
        <v>30</v>
      </c>
      <c r="C597" t="s">
        <v>88</v>
      </c>
      <c r="D597" t="s">
        <v>165</v>
      </c>
      <c r="E597" t="s">
        <v>210</v>
      </c>
      <c r="F597" t="s">
        <v>246</v>
      </c>
      <c r="G597" t="s">
        <v>247</v>
      </c>
      <c r="H597" t="s">
        <v>50</v>
      </c>
      <c r="I597" t="s">
        <v>168</v>
      </c>
      <c r="J597" t="s">
        <v>248</v>
      </c>
      <c r="K597" t="str">
        <f>"l19170925072"</f>
        <v>0</v>
      </c>
      <c r="L597">
        <v>34777</v>
      </c>
      <c r="M597"/>
      <c r="N597" t="s">
        <v>38</v>
      </c>
      <c r="O597" t="s">
        <v>38</v>
      </c>
      <c r="P597" t="s">
        <v>53</v>
      </c>
      <c r="Q597" t="s">
        <v>38</v>
      </c>
      <c r="R597" t="s">
        <v>38</v>
      </c>
      <c r="S597" t="s">
        <v>42</v>
      </c>
      <c r="T597" t="s">
        <v>42</v>
      </c>
      <c r="U597" t="s">
        <v>792</v>
      </c>
      <c r="V597" t="s">
        <v>44</v>
      </c>
      <c r="W597" t="s">
        <v>792</v>
      </c>
      <c r="X597" t="s">
        <v>45</v>
      </c>
      <c r="Y597" t="s">
        <v>793</v>
      </c>
      <c r="Z597" t="s">
        <v>47</v>
      </c>
      <c r="AA597"/>
      <c r="AB597"/>
      <c r="AC597"/>
      <c r="AD597"/>
    </row>
    <row r="598" spans="1:30">
      <c r="A598">
        <v>4110050038</v>
      </c>
      <c r="B598" t="s">
        <v>30</v>
      </c>
      <c r="C598" t="s">
        <v>88</v>
      </c>
      <c r="D598" t="s">
        <v>165</v>
      </c>
      <c r="E598" t="s">
        <v>210</v>
      </c>
      <c r="F598" t="s">
        <v>246</v>
      </c>
      <c r="G598" t="s">
        <v>247</v>
      </c>
      <c r="H598" t="s">
        <v>50</v>
      </c>
      <c r="I598" t="s">
        <v>168</v>
      </c>
      <c r="J598" t="s">
        <v>248</v>
      </c>
      <c r="K598" t="str">
        <f>"l19170925071"</f>
        <v>0</v>
      </c>
      <c r="L598">
        <v>34777</v>
      </c>
      <c r="M598"/>
      <c r="N598" t="s">
        <v>38</v>
      </c>
      <c r="O598" t="s">
        <v>38</v>
      </c>
      <c r="P598" t="s">
        <v>53</v>
      </c>
      <c r="Q598" t="s">
        <v>38</v>
      </c>
      <c r="R598" t="s">
        <v>38</v>
      </c>
      <c r="S598" t="s">
        <v>42</v>
      </c>
      <c r="T598" t="s">
        <v>42</v>
      </c>
      <c r="U598" t="s">
        <v>792</v>
      </c>
      <c r="V598" t="s">
        <v>44</v>
      </c>
      <c r="W598" t="s">
        <v>792</v>
      </c>
      <c r="X598" t="s">
        <v>45</v>
      </c>
      <c r="Y598" t="s">
        <v>793</v>
      </c>
      <c r="Z598" t="s">
        <v>47</v>
      </c>
      <c r="AA598"/>
      <c r="AB598"/>
      <c r="AC598"/>
      <c r="AD598"/>
    </row>
    <row r="599" spans="1:30">
      <c r="A599">
        <v>4110050052</v>
      </c>
      <c r="B599" t="s">
        <v>30</v>
      </c>
      <c r="C599" t="s">
        <v>88</v>
      </c>
      <c r="D599" t="s">
        <v>165</v>
      </c>
      <c r="E599" t="s">
        <v>794</v>
      </c>
      <c r="F599" t="s">
        <v>166</v>
      </c>
      <c r="G599" t="s">
        <v>247</v>
      </c>
      <c r="H599" t="s">
        <v>50</v>
      </c>
      <c r="I599" t="s">
        <v>168</v>
      </c>
      <c r="J599" t="s">
        <v>502</v>
      </c>
      <c r="K599" t="str">
        <f>"l19170925075"</f>
        <v>0</v>
      </c>
      <c r="L599">
        <v>34777</v>
      </c>
      <c r="M599"/>
      <c r="N599" t="s">
        <v>38</v>
      </c>
      <c r="O599" t="s">
        <v>38</v>
      </c>
      <c r="P599" t="s">
        <v>53</v>
      </c>
      <c r="Q599" t="s">
        <v>38</v>
      </c>
      <c r="R599" t="s">
        <v>38</v>
      </c>
      <c r="S599" t="s">
        <v>42</v>
      </c>
      <c r="T599" t="s">
        <v>42</v>
      </c>
      <c r="U599" t="s">
        <v>792</v>
      </c>
      <c r="V599" t="s">
        <v>44</v>
      </c>
      <c r="W599" t="s">
        <v>792</v>
      </c>
      <c r="X599" t="s">
        <v>45</v>
      </c>
      <c r="Y599" t="s">
        <v>793</v>
      </c>
      <c r="Z599" t="s">
        <v>47</v>
      </c>
      <c r="AA599"/>
      <c r="AB599"/>
      <c r="AC599"/>
      <c r="AD599"/>
    </row>
    <row r="600" spans="1:30">
      <c r="A600">
        <v>4110050039</v>
      </c>
      <c r="B600" t="s">
        <v>30</v>
      </c>
      <c r="C600" t="s">
        <v>88</v>
      </c>
      <c r="D600" t="s">
        <v>165</v>
      </c>
      <c r="E600" t="s">
        <v>795</v>
      </c>
      <c r="F600" t="s">
        <v>64</v>
      </c>
      <c r="G600" t="s">
        <v>99</v>
      </c>
      <c r="H600" t="s">
        <v>50</v>
      </c>
      <c r="I600" t="s">
        <v>417</v>
      </c>
      <c r="J600" t="s">
        <v>228</v>
      </c>
      <c r="K600" t="str">
        <f>"210619720"</f>
        <v>0</v>
      </c>
      <c r="L600">
        <v>36000</v>
      </c>
      <c r="M600"/>
      <c r="N600" t="s">
        <v>38</v>
      </c>
      <c r="O600" t="s">
        <v>38</v>
      </c>
      <c r="P600" t="s">
        <v>53</v>
      </c>
      <c r="Q600" t="s">
        <v>38</v>
      </c>
      <c r="R600" t="s">
        <v>38</v>
      </c>
      <c r="S600" t="s">
        <v>42</v>
      </c>
      <c r="T600" t="s">
        <v>42</v>
      </c>
      <c r="U600" t="s">
        <v>792</v>
      </c>
      <c r="V600" t="s">
        <v>44</v>
      </c>
      <c r="W600" t="s">
        <v>792</v>
      </c>
      <c r="X600" t="s">
        <v>45</v>
      </c>
      <c r="Y600" t="s">
        <v>793</v>
      </c>
      <c r="Z600" t="s">
        <v>47</v>
      </c>
      <c r="AA600"/>
      <c r="AB600"/>
      <c r="AC600"/>
      <c r="AD600"/>
    </row>
    <row r="601" spans="1:30">
      <c r="A601">
        <v>4110050040</v>
      </c>
      <c r="B601" t="s">
        <v>30</v>
      </c>
      <c r="C601" t="s">
        <v>88</v>
      </c>
      <c r="D601" t="s">
        <v>165</v>
      </c>
      <c r="E601" t="s">
        <v>795</v>
      </c>
      <c r="F601" t="s">
        <v>64</v>
      </c>
      <c r="G601" t="s">
        <v>99</v>
      </c>
      <c r="H601" t="s">
        <v>50</v>
      </c>
      <c r="I601" t="s">
        <v>314</v>
      </c>
      <c r="J601" t="s">
        <v>796</v>
      </c>
      <c r="K601" t="str">
        <f>"21G23D401AA011332"</f>
        <v>0</v>
      </c>
      <c r="L601">
        <v>36000</v>
      </c>
      <c r="M601"/>
      <c r="N601" t="s">
        <v>38</v>
      </c>
      <c r="O601" t="s">
        <v>38</v>
      </c>
      <c r="P601" t="s">
        <v>53</v>
      </c>
      <c r="Q601" t="s">
        <v>38</v>
      </c>
      <c r="R601" t="s">
        <v>38</v>
      </c>
      <c r="S601" t="s">
        <v>42</v>
      </c>
      <c r="T601" t="s">
        <v>42</v>
      </c>
      <c r="U601" t="s">
        <v>792</v>
      </c>
      <c r="V601" t="s">
        <v>44</v>
      </c>
      <c r="W601" t="s">
        <v>792</v>
      </c>
      <c r="X601" t="s">
        <v>45</v>
      </c>
      <c r="Y601" t="s">
        <v>793</v>
      </c>
      <c r="Z601" t="s">
        <v>47</v>
      </c>
      <c r="AA601"/>
      <c r="AB601"/>
      <c r="AC601"/>
      <c r="AD601"/>
    </row>
    <row r="602" spans="1:30">
      <c r="A602">
        <v>4110050041</v>
      </c>
      <c r="B602" t="s">
        <v>30</v>
      </c>
      <c r="C602" t="s">
        <v>88</v>
      </c>
      <c r="D602" t="s">
        <v>165</v>
      </c>
      <c r="E602" t="s">
        <v>210</v>
      </c>
      <c r="F602" t="s">
        <v>64</v>
      </c>
      <c r="G602" t="s">
        <v>99</v>
      </c>
      <c r="H602" t="s">
        <v>50</v>
      </c>
      <c r="I602" t="s">
        <v>417</v>
      </c>
      <c r="J602" t="s">
        <v>797</v>
      </c>
      <c r="K602" t="str">
        <f>"210500484"</f>
        <v>0</v>
      </c>
      <c r="L602">
        <v>38047</v>
      </c>
      <c r="M602"/>
      <c r="N602" t="s">
        <v>38</v>
      </c>
      <c r="O602" t="s">
        <v>38</v>
      </c>
      <c r="P602" t="s">
        <v>53</v>
      </c>
      <c r="Q602" t="s">
        <v>38</v>
      </c>
      <c r="R602" t="s">
        <v>38</v>
      </c>
      <c r="S602" t="s">
        <v>42</v>
      </c>
      <c r="T602" t="s">
        <v>42</v>
      </c>
      <c r="U602" t="s">
        <v>792</v>
      </c>
      <c r="V602" t="s">
        <v>44</v>
      </c>
      <c r="W602" t="s">
        <v>792</v>
      </c>
      <c r="X602" t="s">
        <v>45</v>
      </c>
      <c r="Y602" t="s">
        <v>793</v>
      </c>
      <c r="Z602" t="s">
        <v>47</v>
      </c>
      <c r="AA602"/>
      <c r="AB602"/>
      <c r="AC602"/>
      <c r="AD602"/>
    </row>
    <row r="603" spans="1:30">
      <c r="A603">
        <v>4110050042</v>
      </c>
      <c r="B603" t="s">
        <v>30</v>
      </c>
      <c r="C603" t="s">
        <v>88</v>
      </c>
      <c r="D603" t="s">
        <v>165</v>
      </c>
      <c r="E603" t="s">
        <v>210</v>
      </c>
      <c r="F603" t="s">
        <v>64</v>
      </c>
      <c r="G603" t="s">
        <v>99</v>
      </c>
      <c r="H603" t="s">
        <v>50</v>
      </c>
      <c r="I603" t="s">
        <v>417</v>
      </c>
      <c r="J603" t="s">
        <v>797</v>
      </c>
      <c r="K603" t="str">
        <f>"210500357"</f>
        <v>0</v>
      </c>
      <c r="L603">
        <v>38047</v>
      </c>
      <c r="M603"/>
      <c r="N603" t="s">
        <v>38</v>
      </c>
      <c r="O603" t="s">
        <v>38</v>
      </c>
      <c r="P603" t="s">
        <v>53</v>
      </c>
      <c r="Q603" t="s">
        <v>38</v>
      </c>
      <c r="R603" t="s">
        <v>38</v>
      </c>
      <c r="S603" t="s">
        <v>42</v>
      </c>
      <c r="T603" t="s">
        <v>42</v>
      </c>
      <c r="U603" t="s">
        <v>792</v>
      </c>
      <c r="V603" t="s">
        <v>44</v>
      </c>
      <c r="W603" t="s">
        <v>792</v>
      </c>
      <c r="X603" t="s">
        <v>45</v>
      </c>
      <c r="Y603" t="s">
        <v>793</v>
      </c>
      <c r="Z603" t="s">
        <v>47</v>
      </c>
      <c r="AA603"/>
      <c r="AB603"/>
      <c r="AC603"/>
      <c r="AD603"/>
    </row>
    <row r="604" spans="1:30">
      <c r="A604">
        <v>4110050043</v>
      </c>
      <c r="B604" t="s">
        <v>30</v>
      </c>
      <c r="C604" t="s">
        <v>88</v>
      </c>
      <c r="D604" t="s">
        <v>165</v>
      </c>
      <c r="E604" t="s">
        <v>509</v>
      </c>
      <c r="F604" t="s">
        <v>64</v>
      </c>
      <c r="G604" t="s">
        <v>99</v>
      </c>
      <c r="H604" t="s">
        <v>50</v>
      </c>
      <c r="I604" t="s">
        <v>417</v>
      </c>
      <c r="J604" t="s">
        <v>797</v>
      </c>
      <c r="K604" t="str">
        <f>"210501027"</f>
        <v>0</v>
      </c>
      <c r="L604">
        <v>38047</v>
      </c>
      <c r="M604"/>
      <c r="N604" t="s">
        <v>38</v>
      </c>
      <c r="O604" t="s">
        <v>38</v>
      </c>
      <c r="P604" t="s">
        <v>53</v>
      </c>
      <c r="Q604" t="s">
        <v>38</v>
      </c>
      <c r="R604" t="s">
        <v>38</v>
      </c>
      <c r="S604" t="s">
        <v>42</v>
      </c>
      <c r="T604" t="s">
        <v>42</v>
      </c>
      <c r="U604" t="s">
        <v>792</v>
      </c>
      <c r="V604" t="s">
        <v>44</v>
      </c>
      <c r="W604" t="s">
        <v>792</v>
      </c>
      <c r="X604" t="s">
        <v>45</v>
      </c>
      <c r="Y604" t="s">
        <v>793</v>
      </c>
      <c r="Z604" t="s">
        <v>47</v>
      </c>
      <c r="AA604"/>
      <c r="AB604"/>
      <c r="AC604"/>
      <c r="AD604"/>
    </row>
    <row r="605" spans="1:30">
      <c r="A605">
        <v>4110050044</v>
      </c>
      <c r="B605" t="s">
        <v>30</v>
      </c>
      <c r="C605" t="s">
        <v>88</v>
      </c>
      <c r="D605" t="s">
        <v>165</v>
      </c>
      <c r="E605" t="s">
        <v>509</v>
      </c>
      <c r="F605" t="s">
        <v>64</v>
      </c>
      <c r="G605" t="s">
        <v>99</v>
      </c>
      <c r="H605" t="s">
        <v>50</v>
      </c>
      <c r="I605" t="s">
        <v>102</v>
      </c>
      <c r="J605" t="s">
        <v>798</v>
      </c>
      <c r="K605" t="str">
        <f>"ma21050561053"</f>
        <v>0</v>
      </c>
      <c r="L605">
        <v>77650</v>
      </c>
      <c r="M605"/>
      <c r="N605" t="s">
        <v>38</v>
      </c>
      <c r="O605" t="s">
        <v>38</v>
      </c>
      <c r="P605" t="s">
        <v>53</v>
      </c>
      <c r="Q605" t="s">
        <v>38</v>
      </c>
      <c r="R605" t="s">
        <v>38</v>
      </c>
      <c r="S605" t="s">
        <v>42</v>
      </c>
      <c r="T605" t="s">
        <v>42</v>
      </c>
      <c r="U605" t="s">
        <v>792</v>
      </c>
      <c r="V605" t="s">
        <v>44</v>
      </c>
      <c r="W605" t="s">
        <v>792</v>
      </c>
      <c r="X605" t="s">
        <v>45</v>
      </c>
      <c r="Y605" t="s">
        <v>793</v>
      </c>
      <c r="Z605" t="s">
        <v>47</v>
      </c>
      <c r="AA605"/>
      <c r="AB605"/>
      <c r="AC605"/>
      <c r="AD605"/>
    </row>
    <row r="606" spans="1:30">
      <c r="A606">
        <v>4110050045</v>
      </c>
      <c r="B606" t="s">
        <v>30</v>
      </c>
      <c r="C606" t="s">
        <v>88</v>
      </c>
      <c r="D606" t="s">
        <v>165</v>
      </c>
      <c r="E606" t="s">
        <v>509</v>
      </c>
      <c r="F606" t="s">
        <v>64</v>
      </c>
      <c r="G606" t="s">
        <v>99</v>
      </c>
      <c r="H606" t="s">
        <v>50</v>
      </c>
      <c r="I606" t="s">
        <v>314</v>
      </c>
      <c r="J606" t="s">
        <v>796</v>
      </c>
      <c r="K606" t="str">
        <f>"21g23d401aa011160"</f>
        <v>0</v>
      </c>
      <c r="L606">
        <v>36000</v>
      </c>
      <c r="M606"/>
      <c r="N606" t="s">
        <v>38</v>
      </c>
      <c r="O606" t="s">
        <v>38</v>
      </c>
      <c r="P606" t="s">
        <v>53</v>
      </c>
      <c r="Q606" t="s">
        <v>38</v>
      </c>
      <c r="R606" t="s">
        <v>38</v>
      </c>
      <c r="S606" t="s">
        <v>42</v>
      </c>
      <c r="T606" t="s">
        <v>42</v>
      </c>
      <c r="U606" t="s">
        <v>792</v>
      </c>
      <c r="V606" t="s">
        <v>44</v>
      </c>
      <c r="W606" t="s">
        <v>792</v>
      </c>
      <c r="X606" t="s">
        <v>45</v>
      </c>
      <c r="Y606" t="s">
        <v>793</v>
      </c>
      <c r="Z606" t="s">
        <v>47</v>
      </c>
      <c r="AA606"/>
      <c r="AB606"/>
      <c r="AC606"/>
      <c r="AD606"/>
    </row>
    <row r="607" spans="1:30">
      <c r="A607">
        <v>4110050046</v>
      </c>
      <c r="B607" t="s">
        <v>30</v>
      </c>
      <c r="C607" t="s">
        <v>88</v>
      </c>
      <c r="D607" t="s">
        <v>165</v>
      </c>
      <c r="E607" t="s">
        <v>799</v>
      </c>
      <c r="F607" t="s">
        <v>64</v>
      </c>
      <c r="G607" t="s">
        <v>99</v>
      </c>
      <c r="H607" t="s">
        <v>50</v>
      </c>
      <c r="I607" t="s">
        <v>102</v>
      </c>
      <c r="J607" t="s">
        <v>798</v>
      </c>
      <c r="K607" t="str">
        <f>"ma21050561588"</f>
        <v>0</v>
      </c>
      <c r="L607">
        <v>77650</v>
      </c>
      <c r="M607"/>
      <c r="N607" t="s">
        <v>38</v>
      </c>
      <c r="O607" t="s">
        <v>38</v>
      </c>
      <c r="P607" t="s">
        <v>53</v>
      </c>
      <c r="Q607" t="s">
        <v>38</v>
      </c>
      <c r="R607" t="s">
        <v>38</v>
      </c>
      <c r="S607" t="s">
        <v>42</v>
      </c>
      <c r="T607" t="s">
        <v>42</v>
      </c>
      <c r="U607" t="s">
        <v>792</v>
      </c>
      <c r="V607" t="s">
        <v>44</v>
      </c>
      <c r="W607" t="s">
        <v>792</v>
      </c>
      <c r="X607" t="s">
        <v>45</v>
      </c>
      <c r="Y607" t="s">
        <v>793</v>
      </c>
      <c r="Z607" t="s">
        <v>47</v>
      </c>
      <c r="AA607"/>
      <c r="AB607"/>
      <c r="AC607"/>
      <c r="AD607"/>
    </row>
    <row r="608" spans="1:30">
      <c r="A608">
        <v>4110050047</v>
      </c>
      <c r="B608" t="s">
        <v>30</v>
      </c>
      <c r="C608" t="s">
        <v>88</v>
      </c>
      <c r="D608" t="s">
        <v>165</v>
      </c>
      <c r="E608" t="s">
        <v>799</v>
      </c>
      <c r="F608" t="s">
        <v>64</v>
      </c>
      <c r="G608" t="s">
        <v>99</v>
      </c>
      <c r="H608" t="s">
        <v>50</v>
      </c>
      <c r="I608" t="s">
        <v>102</v>
      </c>
      <c r="J608" t="s">
        <v>798</v>
      </c>
      <c r="K608" t="str">
        <f>"ma21050561145"</f>
        <v>0</v>
      </c>
      <c r="L608">
        <v>77650</v>
      </c>
      <c r="M608"/>
      <c r="N608" t="s">
        <v>38</v>
      </c>
      <c r="O608" t="s">
        <v>38</v>
      </c>
      <c r="P608" t="s">
        <v>53</v>
      </c>
      <c r="Q608" t="s">
        <v>38</v>
      </c>
      <c r="R608" t="s">
        <v>38</v>
      </c>
      <c r="S608" t="s">
        <v>42</v>
      </c>
      <c r="T608" t="s">
        <v>42</v>
      </c>
      <c r="U608" t="s">
        <v>792</v>
      </c>
      <c r="V608" t="s">
        <v>44</v>
      </c>
      <c r="W608" t="s">
        <v>792</v>
      </c>
      <c r="X608" t="s">
        <v>45</v>
      </c>
      <c r="Y608" t="s">
        <v>793</v>
      </c>
      <c r="Z608" t="s">
        <v>47</v>
      </c>
      <c r="AA608"/>
      <c r="AB608"/>
      <c r="AC608"/>
      <c r="AD608"/>
    </row>
    <row r="609" spans="1:30">
      <c r="A609">
        <v>4110050048</v>
      </c>
      <c r="B609" t="s">
        <v>30</v>
      </c>
      <c r="C609" t="s">
        <v>88</v>
      </c>
      <c r="D609" t="s">
        <v>165</v>
      </c>
      <c r="E609" t="s">
        <v>799</v>
      </c>
      <c r="F609" t="s">
        <v>64</v>
      </c>
      <c r="G609" t="s">
        <v>99</v>
      </c>
      <c r="H609" t="s">
        <v>50</v>
      </c>
      <c r="I609" t="s">
        <v>102</v>
      </c>
      <c r="J609" t="s">
        <v>798</v>
      </c>
      <c r="K609" t="str">
        <f>"ma21050561750"</f>
        <v>0</v>
      </c>
      <c r="L609">
        <v>77650</v>
      </c>
      <c r="M609"/>
      <c r="N609" t="s">
        <v>38</v>
      </c>
      <c r="O609" t="s">
        <v>38</v>
      </c>
      <c r="P609" t="s">
        <v>53</v>
      </c>
      <c r="Q609" t="s">
        <v>38</v>
      </c>
      <c r="R609" t="s">
        <v>38</v>
      </c>
      <c r="S609" t="s">
        <v>42</v>
      </c>
      <c r="T609" t="s">
        <v>42</v>
      </c>
      <c r="U609" t="s">
        <v>792</v>
      </c>
      <c r="V609" t="s">
        <v>44</v>
      </c>
      <c r="W609" t="s">
        <v>792</v>
      </c>
      <c r="X609" t="s">
        <v>45</v>
      </c>
      <c r="Y609" t="s">
        <v>793</v>
      </c>
      <c r="Z609" t="s">
        <v>47</v>
      </c>
      <c r="AA609"/>
      <c r="AB609"/>
      <c r="AC609"/>
      <c r="AD609"/>
    </row>
    <row r="610" spans="1:30">
      <c r="A610">
        <v>4110050049</v>
      </c>
      <c r="B610" t="s">
        <v>30</v>
      </c>
      <c r="C610" t="s">
        <v>88</v>
      </c>
      <c r="D610" t="s">
        <v>165</v>
      </c>
      <c r="E610" t="s">
        <v>799</v>
      </c>
      <c r="F610" t="s">
        <v>64</v>
      </c>
      <c r="G610" t="s">
        <v>99</v>
      </c>
      <c r="H610" t="s">
        <v>50</v>
      </c>
      <c r="I610" t="s">
        <v>102</v>
      </c>
      <c r="J610" t="s">
        <v>798</v>
      </c>
      <c r="K610" t="str">
        <f>"ma21050561634"</f>
        <v>0</v>
      </c>
      <c r="L610">
        <v>77650</v>
      </c>
      <c r="M610"/>
      <c r="N610" t="s">
        <v>38</v>
      </c>
      <c r="O610" t="s">
        <v>38</v>
      </c>
      <c r="P610" t="s">
        <v>53</v>
      </c>
      <c r="Q610" t="s">
        <v>38</v>
      </c>
      <c r="R610" t="s">
        <v>38</v>
      </c>
      <c r="S610" t="s">
        <v>42</v>
      </c>
      <c r="T610" t="s">
        <v>42</v>
      </c>
      <c r="U610" t="s">
        <v>792</v>
      </c>
      <c r="V610" t="s">
        <v>44</v>
      </c>
      <c r="W610" t="s">
        <v>792</v>
      </c>
      <c r="X610" t="s">
        <v>45</v>
      </c>
      <c r="Y610" t="s">
        <v>793</v>
      </c>
      <c r="Z610" t="s">
        <v>47</v>
      </c>
      <c r="AA610"/>
      <c r="AB610"/>
      <c r="AC610"/>
      <c r="AD610"/>
    </row>
    <row r="611" spans="1:30">
      <c r="A611">
        <v>4110050050</v>
      </c>
      <c r="B611" t="s">
        <v>30</v>
      </c>
      <c r="C611" t="s">
        <v>88</v>
      </c>
      <c r="D611" t="s">
        <v>165</v>
      </c>
      <c r="E611" t="s">
        <v>799</v>
      </c>
      <c r="F611" t="s">
        <v>64</v>
      </c>
      <c r="G611" t="s">
        <v>99</v>
      </c>
      <c r="H611" t="s">
        <v>50</v>
      </c>
      <c r="I611" t="s">
        <v>417</v>
      </c>
      <c r="J611" t="s">
        <v>800</v>
      </c>
      <c r="K611" t="str">
        <f>"210623824"</f>
        <v>0</v>
      </c>
      <c r="L611">
        <v>36000</v>
      </c>
      <c r="M611"/>
      <c r="N611" t="s">
        <v>38</v>
      </c>
      <c r="O611" t="s">
        <v>38</v>
      </c>
      <c r="P611" t="s">
        <v>53</v>
      </c>
      <c r="Q611" t="s">
        <v>38</v>
      </c>
      <c r="R611" t="s">
        <v>38</v>
      </c>
      <c r="S611" t="s">
        <v>42</v>
      </c>
      <c r="T611" t="s">
        <v>42</v>
      </c>
      <c r="U611" t="s">
        <v>792</v>
      </c>
      <c r="V611" t="s">
        <v>44</v>
      </c>
      <c r="W611" t="s">
        <v>792</v>
      </c>
      <c r="X611" t="s">
        <v>45</v>
      </c>
      <c r="Y611" t="s">
        <v>793</v>
      </c>
      <c r="Z611" t="s">
        <v>47</v>
      </c>
      <c r="AA611"/>
      <c r="AB611"/>
      <c r="AC611"/>
      <c r="AD611"/>
    </row>
    <row r="612" spans="1:30">
      <c r="A612">
        <v>4110050034</v>
      </c>
      <c r="B612" t="s">
        <v>30</v>
      </c>
      <c r="C612" t="s">
        <v>88</v>
      </c>
      <c r="D612" t="s">
        <v>165</v>
      </c>
      <c r="E612" t="s">
        <v>801</v>
      </c>
      <c r="F612" t="s">
        <v>147</v>
      </c>
      <c r="G612" t="s">
        <v>148</v>
      </c>
      <c r="H612" t="s">
        <v>35</v>
      </c>
      <c r="I612" t="s">
        <v>149</v>
      </c>
      <c r="J612" t="s">
        <v>802</v>
      </c>
      <c r="K612" t="str">
        <f>"v301A1812129"</f>
        <v>0</v>
      </c>
      <c r="L612">
        <v>47952</v>
      </c>
      <c r="M612"/>
      <c r="N612" t="s">
        <v>38</v>
      </c>
      <c r="O612" t="s">
        <v>38</v>
      </c>
      <c r="P612" t="s">
        <v>53</v>
      </c>
      <c r="Q612" t="s">
        <v>38</v>
      </c>
      <c r="R612" t="s">
        <v>38</v>
      </c>
      <c r="S612" t="s">
        <v>42</v>
      </c>
      <c r="T612" t="s">
        <v>42</v>
      </c>
      <c r="U612" t="s">
        <v>792</v>
      </c>
      <c r="V612" t="s">
        <v>44</v>
      </c>
      <c r="W612" t="s">
        <v>792</v>
      </c>
      <c r="X612" t="s">
        <v>45</v>
      </c>
      <c r="Y612" t="s">
        <v>793</v>
      </c>
      <c r="Z612" t="s">
        <v>47</v>
      </c>
      <c r="AA612"/>
      <c r="AB612"/>
      <c r="AC612"/>
      <c r="AD612"/>
    </row>
    <row r="613" spans="1:30">
      <c r="A613">
        <v>4110050035</v>
      </c>
      <c r="B613" t="s">
        <v>30</v>
      </c>
      <c r="C613" t="s">
        <v>88</v>
      </c>
      <c r="D613" t="s">
        <v>165</v>
      </c>
      <c r="E613" t="s">
        <v>794</v>
      </c>
      <c r="F613" t="s">
        <v>147</v>
      </c>
      <c r="G613" t="s">
        <v>148</v>
      </c>
      <c r="H613" t="s">
        <v>35</v>
      </c>
      <c r="I613" t="s">
        <v>149</v>
      </c>
      <c r="J613" t="s">
        <v>803</v>
      </c>
      <c r="K613" t="str">
        <f>"v301a1911036"</f>
        <v>0</v>
      </c>
      <c r="L613">
        <v>47952</v>
      </c>
      <c r="M613"/>
      <c r="N613" t="s">
        <v>38</v>
      </c>
      <c r="O613" t="s">
        <v>38</v>
      </c>
      <c r="P613" t="s">
        <v>53</v>
      </c>
      <c r="Q613" t="s">
        <v>38</v>
      </c>
      <c r="R613" t="s">
        <v>38</v>
      </c>
      <c r="S613" t="s">
        <v>42</v>
      </c>
      <c r="T613" t="s">
        <v>42</v>
      </c>
      <c r="U613" t="s">
        <v>792</v>
      </c>
      <c r="V613" t="s">
        <v>44</v>
      </c>
      <c r="W613" t="s">
        <v>792</v>
      </c>
      <c r="X613" t="s">
        <v>45</v>
      </c>
      <c r="Y613" t="s">
        <v>793</v>
      </c>
      <c r="Z613" t="s">
        <v>47</v>
      </c>
      <c r="AA613"/>
      <c r="AB613"/>
      <c r="AC613"/>
      <c r="AD613"/>
    </row>
    <row r="614" spans="1:30">
      <c r="A614">
        <v>4110050036</v>
      </c>
      <c r="B614" t="s">
        <v>30</v>
      </c>
      <c r="C614" t="s">
        <v>88</v>
      </c>
      <c r="D614" t="s">
        <v>165</v>
      </c>
      <c r="E614" t="s">
        <v>210</v>
      </c>
      <c r="F614" t="s">
        <v>147</v>
      </c>
      <c r="G614" t="s">
        <v>148</v>
      </c>
      <c r="H614" t="s">
        <v>35</v>
      </c>
      <c r="I614" t="s">
        <v>262</v>
      </c>
      <c r="J614" t="s">
        <v>804</v>
      </c>
      <c r="K614" t="str">
        <f>"2k12 1205p"</f>
        <v>0</v>
      </c>
      <c r="L614">
        <v>24581</v>
      </c>
      <c r="M614"/>
      <c r="N614" t="s">
        <v>38</v>
      </c>
      <c r="O614" t="s">
        <v>38</v>
      </c>
      <c r="P614" t="s">
        <v>53</v>
      </c>
      <c r="Q614" t="s">
        <v>38</v>
      </c>
      <c r="R614" t="s">
        <v>38</v>
      </c>
      <c r="S614" t="s">
        <v>42</v>
      </c>
      <c r="T614" t="s">
        <v>42</v>
      </c>
      <c r="U614" t="s">
        <v>792</v>
      </c>
      <c r="V614" t="s">
        <v>44</v>
      </c>
      <c r="W614" t="s">
        <v>792</v>
      </c>
      <c r="X614" t="s">
        <v>45</v>
      </c>
      <c r="Y614" t="s">
        <v>793</v>
      </c>
      <c r="Z614" t="s">
        <v>47</v>
      </c>
      <c r="AA614"/>
      <c r="AB614"/>
      <c r="AC614"/>
      <c r="AD614"/>
    </row>
    <row r="615" spans="1:30">
      <c r="A615">
        <v>3110100163</v>
      </c>
      <c r="B615" t="s">
        <v>30</v>
      </c>
      <c r="C615" t="s">
        <v>61</v>
      </c>
      <c r="D615" t="s">
        <v>71</v>
      </c>
      <c r="E615" t="s">
        <v>188</v>
      </c>
      <c r="F615" t="s">
        <v>188</v>
      </c>
      <c r="G615" t="s">
        <v>573</v>
      </c>
      <c r="H615" t="s">
        <v>50</v>
      </c>
      <c r="I615" t="s">
        <v>675</v>
      </c>
      <c r="J615" t="s">
        <v>805</v>
      </c>
      <c r="K615" t="str">
        <f>"na"</f>
        <v>0</v>
      </c>
      <c r="L615">
        <v>35000</v>
      </c>
      <c r="M615"/>
      <c r="N615" t="s">
        <v>38</v>
      </c>
      <c r="O615" t="s">
        <v>38</v>
      </c>
      <c r="P615" t="s">
        <v>53</v>
      </c>
      <c r="Q615" t="s">
        <v>38</v>
      </c>
      <c r="R615" t="s">
        <v>38</v>
      </c>
      <c r="S615" t="s">
        <v>42</v>
      </c>
      <c r="T615" t="s">
        <v>42</v>
      </c>
      <c r="U615" t="s">
        <v>792</v>
      </c>
      <c r="V615" t="s">
        <v>636</v>
      </c>
      <c r="W615" t="s">
        <v>792</v>
      </c>
      <c r="X615" t="s">
        <v>45</v>
      </c>
      <c r="Y615" t="s">
        <v>788</v>
      </c>
      <c r="Z615" t="s">
        <v>47</v>
      </c>
      <c r="AA615"/>
      <c r="AB615"/>
      <c r="AC615"/>
      <c r="AD615" t="s">
        <v>638</v>
      </c>
    </row>
    <row r="616" spans="1:30">
      <c r="A616">
        <v>4110050051</v>
      </c>
      <c r="B616" t="s">
        <v>30</v>
      </c>
      <c r="C616" t="s">
        <v>88</v>
      </c>
      <c r="D616" t="s">
        <v>165</v>
      </c>
      <c r="E616" t="s">
        <v>794</v>
      </c>
      <c r="F616" t="s">
        <v>147</v>
      </c>
      <c r="G616" t="s">
        <v>360</v>
      </c>
      <c r="H616" t="s">
        <v>35</v>
      </c>
      <c r="I616" t="s">
        <v>420</v>
      </c>
      <c r="J616" t="s">
        <v>59</v>
      </c>
      <c r="K616" t="str">
        <f>"48422931"</f>
        <v>0</v>
      </c>
      <c r="L616">
        <v>719000</v>
      </c>
      <c r="M616"/>
      <c r="N616" t="s">
        <v>38</v>
      </c>
      <c r="O616" t="s">
        <v>38</v>
      </c>
      <c r="P616" t="s">
        <v>53</v>
      </c>
      <c r="Q616" t="s">
        <v>38</v>
      </c>
      <c r="R616" t="s">
        <v>38</v>
      </c>
      <c r="S616" t="s">
        <v>42</v>
      </c>
      <c r="T616" t="s">
        <v>42</v>
      </c>
      <c r="U616" t="s">
        <v>792</v>
      </c>
      <c r="V616" t="s">
        <v>44</v>
      </c>
      <c r="W616" t="s">
        <v>792</v>
      </c>
      <c r="X616" t="s">
        <v>45</v>
      </c>
      <c r="Y616" t="s">
        <v>793</v>
      </c>
      <c r="Z616" t="s">
        <v>47</v>
      </c>
      <c r="AA616"/>
      <c r="AB616"/>
      <c r="AC616"/>
      <c r="AD616"/>
    </row>
    <row r="617" spans="1:30">
      <c r="A617">
        <v>3110100164</v>
      </c>
      <c r="B617" t="s">
        <v>30</v>
      </c>
      <c r="C617" t="s">
        <v>61</v>
      </c>
      <c r="D617" t="s">
        <v>71</v>
      </c>
      <c r="E617" t="s">
        <v>55</v>
      </c>
      <c r="F617" t="s">
        <v>56</v>
      </c>
      <c r="G617" t="s">
        <v>57</v>
      </c>
      <c r="H617" t="s">
        <v>50</v>
      </c>
      <c r="I617" t="s">
        <v>806</v>
      </c>
      <c r="J617"/>
      <c r="K617" t="str">
        <f>"17436"</f>
        <v>0</v>
      </c>
      <c r="L617">
        <v>57750</v>
      </c>
      <c r="M617"/>
      <c r="N617" t="s">
        <v>38</v>
      </c>
      <c r="O617" t="s">
        <v>38</v>
      </c>
      <c r="P617" t="s">
        <v>53</v>
      </c>
      <c r="Q617" t="s">
        <v>38</v>
      </c>
      <c r="R617" t="s">
        <v>38</v>
      </c>
      <c r="S617" t="s">
        <v>42</v>
      </c>
      <c r="T617" t="s">
        <v>42</v>
      </c>
      <c r="U617" t="s">
        <v>792</v>
      </c>
      <c r="V617" t="s">
        <v>636</v>
      </c>
      <c r="W617" t="s">
        <v>792</v>
      </c>
      <c r="X617" t="s">
        <v>45</v>
      </c>
      <c r="Y617" t="s">
        <v>807</v>
      </c>
      <c r="Z617" t="s">
        <v>47</v>
      </c>
      <c r="AA617"/>
      <c r="AB617"/>
      <c r="AC617"/>
      <c r="AD617" t="s">
        <v>808</v>
      </c>
    </row>
    <row r="618" spans="1:30">
      <c r="A618">
        <v>2110060208</v>
      </c>
      <c r="B618" t="s">
        <v>30</v>
      </c>
      <c r="C618" t="s">
        <v>31</v>
      </c>
      <c r="D618" t="s">
        <v>32</v>
      </c>
      <c r="E618" t="s">
        <v>809</v>
      </c>
      <c r="F618" t="s">
        <v>56</v>
      </c>
      <c r="G618" t="s">
        <v>284</v>
      </c>
      <c r="H618" t="s">
        <v>50</v>
      </c>
      <c r="I618" t="s">
        <v>810</v>
      </c>
      <c r="J618" t="s">
        <v>315</v>
      </c>
      <c r="K618" t="str">
        <f>"121/k/17"</f>
        <v>0</v>
      </c>
      <c r="L618">
        <v>250000</v>
      </c>
      <c r="M618"/>
      <c r="N618" t="s">
        <v>38</v>
      </c>
      <c r="O618" t="s">
        <v>38</v>
      </c>
      <c r="P618" t="s">
        <v>53</v>
      </c>
      <c r="Q618" t="s">
        <v>38</v>
      </c>
      <c r="R618" t="s">
        <v>38</v>
      </c>
      <c r="S618" t="s">
        <v>42</v>
      </c>
      <c r="T618" t="s">
        <v>42</v>
      </c>
      <c r="U618" t="s">
        <v>792</v>
      </c>
      <c r="V618" t="s">
        <v>44</v>
      </c>
      <c r="W618" t="s">
        <v>792</v>
      </c>
      <c r="X618" t="s">
        <v>45</v>
      </c>
      <c r="Y618" t="s">
        <v>811</v>
      </c>
      <c r="Z618" t="s">
        <v>47</v>
      </c>
      <c r="AA618"/>
      <c r="AB618"/>
      <c r="AC618"/>
      <c r="AD618" t="s">
        <v>42</v>
      </c>
    </row>
    <row r="619" spans="1:30">
      <c r="A619">
        <v>3110110117</v>
      </c>
      <c r="B619" t="s">
        <v>30</v>
      </c>
      <c r="C619" t="s">
        <v>61</v>
      </c>
      <c r="D619" t="s">
        <v>62</v>
      </c>
      <c r="E619" t="s">
        <v>48</v>
      </c>
      <c r="F619" t="s">
        <v>48</v>
      </c>
      <c r="G619" t="s">
        <v>620</v>
      </c>
      <c r="H619" t="s">
        <v>50</v>
      </c>
      <c r="I619" t="s">
        <v>621</v>
      </c>
      <c r="J619" t="s">
        <v>812</v>
      </c>
      <c r="K619" t="str">
        <f>"s191065"</f>
        <v>0</v>
      </c>
      <c r="L619">
        <v>100000</v>
      </c>
      <c r="M619"/>
      <c r="N619" t="s">
        <v>38</v>
      </c>
      <c r="O619" t="s">
        <v>38</v>
      </c>
      <c r="P619" t="s">
        <v>53</v>
      </c>
      <c r="Q619" t="s">
        <v>38</v>
      </c>
      <c r="R619" t="s">
        <v>38</v>
      </c>
      <c r="S619" t="s">
        <v>42</v>
      </c>
      <c r="T619" t="s">
        <v>42</v>
      </c>
      <c r="U619" t="s">
        <v>792</v>
      </c>
      <c r="V619" t="s">
        <v>44</v>
      </c>
      <c r="W619" t="s">
        <v>792</v>
      </c>
      <c r="X619" t="s">
        <v>45</v>
      </c>
      <c r="Y619" t="s">
        <v>813</v>
      </c>
      <c r="Z619" t="s">
        <v>47</v>
      </c>
      <c r="AA619"/>
      <c r="AB619"/>
      <c r="AC619"/>
      <c r="AD619"/>
    </row>
    <row r="620" spans="1:30">
      <c r="A620">
        <v>3110110118</v>
      </c>
      <c r="B620" t="s">
        <v>30</v>
      </c>
      <c r="C620" t="s">
        <v>61</v>
      </c>
      <c r="D620" t="s">
        <v>62</v>
      </c>
      <c r="E620" t="s">
        <v>48</v>
      </c>
      <c r="F620" t="s">
        <v>48</v>
      </c>
      <c r="G620" t="s">
        <v>620</v>
      </c>
      <c r="H620" t="s">
        <v>50</v>
      </c>
      <c r="I620" t="s">
        <v>621</v>
      </c>
      <c r="J620" t="s">
        <v>812</v>
      </c>
      <c r="K620" t="str">
        <f>"n150476"</f>
        <v>0</v>
      </c>
      <c r="L620">
        <v>100000</v>
      </c>
      <c r="M620"/>
      <c r="N620" t="s">
        <v>38</v>
      </c>
      <c r="O620" t="s">
        <v>38</v>
      </c>
      <c r="P620" t="s">
        <v>53</v>
      </c>
      <c r="Q620" t="s">
        <v>38</v>
      </c>
      <c r="R620" t="s">
        <v>38</v>
      </c>
      <c r="S620" t="s">
        <v>42</v>
      </c>
      <c r="T620" t="s">
        <v>42</v>
      </c>
      <c r="U620" t="s">
        <v>792</v>
      </c>
      <c r="V620" t="s">
        <v>44</v>
      </c>
      <c r="W620" t="s">
        <v>792</v>
      </c>
      <c r="X620" t="s">
        <v>45</v>
      </c>
      <c r="Y620" t="s">
        <v>813</v>
      </c>
      <c r="Z620" t="s">
        <v>47</v>
      </c>
      <c r="AA620"/>
      <c r="AB620"/>
      <c r="AC620"/>
      <c r="AD620"/>
    </row>
    <row r="621" spans="1:30">
      <c r="A621">
        <v>3110100113</v>
      </c>
      <c r="B621" t="s">
        <v>30</v>
      </c>
      <c r="C621" t="s">
        <v>61</v>
      </c>
      <c r="D621" t="s">
        <v>71</v>
      </c>
      <c r="E621" t="s">
        <v>151</v>
      </c>
      <c r="F621" t="s">
        <v>152</v>
      </c>
      <c r="G621" t="s">
        <v>723</v>
      </c>
      <c r="H621" t="s">
        <v>50</v>
      </c>
      <c r="I621" t="s">
        <v>814</v>
      </c>
      <c r="J621" t="s">
        <v>59</v>
      </c>
      <c r="K621" t="str">
        <f>"na"</f>
        <v>0</v>
      </c>
      <c r="L621">
        <v>125000</v>
      </c>
      <c r="M621"/>
      <c r="N621" t="s">
        <v>38</v>
      </c>
      <c r="O621" t="s">
        <v>38</v>
      </c>
      <c r="P621" t="s">
        <v>53</v>
      </c>
      <c r="Q621" t="s">
        <v>38</v>
      </c>
      <c r="R621" t="s">
        <v>38</v>
      </c>
      <c r="S621" t="s">
        <v>42</v>
      </c>
      <c r="T621" t="s">
        <v>42</v>
      </c>
      <c r="U621" t="s">
        <v>792</v>
      </c>
      <c r="V621" t="s">
        <v>44</v>
      </c>
      <c r="W621" t="s">
        <v>792</v>
      </c>
      <c r="X621" t="s">
        <v>45</v>
      </c>
      <c r="Y621" t="s">
        <v>815</v>
      </c>
      <c r="Z621" t="s">
        <v>47</v>
      </c>
      <c r="AA621"/>
      <c r="AB621"/>
      <c r="AC621"/>
      <c r="AD621"/>
    </row>
    <row r="622" spans="1:30">
      <c r="A622">
        <v>2110060068</v>
      </c>
      <c r="B622" t="s">
        <v>30</v>
      </c>
      <c r="C622" t="s">
        <v>31</v>
      </c>
      <c r="D622" t="s">
        <v>32</v>
      </c>
      <c r="E622" t="s">
        <v>48</v>
      </c>
      <c r="F622" t="s">
        <v>48</v>
      </c>
      <c r="G622" t="s">
        <v>620</v>
      </c>
      <c r="H622" t="s">
        <v>50</v>
      </c>
      <c r="I622" t="s">
        <v>644</v>
      </c>
      <c r="J622" t="s">
        <v>816</v>
      </c>
      <c r="K622" t="str">
        <f>"1003110"</f>
        <v>0</v>
      </c>
      <c r="L622">
        <v>120000</v>
      </c>
      <c r="M622"/>
      <c r="N622" t="s">
        <v>38</v>
      </c>
      <c r="O622" t="s">
        <v>38</v>
      </c>
      <c r="P622" t="s">
        <v>53</v>
      </c>
      <c r="Q622" t="s">
        <v>38</v>
      </c>
      <c r="R622" t="s">
        <v>38</v>
      </c>
      <c r="S622" t="s">
        <v>42</v>
      </c>
      <c r="T622" t="s">
        <v>42</v>
      </c>
      <c r="U622" t="s">
        <v>792</v>
      </c>
      <c r="V622" t="s">
        <v>44</v>
      </c>
      <c r="W622" t="s">
        <v>792</v>
      </c>
      <c r="X622" t="s">
        <v>45</v>
      </c>
      <c r="Y622" t="s">
        <v>817</v>
      </c>
      <c r="Z622" t="s">
        <v>47</v>
      </c>
      <c r="AA622"/>
      <c r="AB622"/>
      <c r="AC622"/>
      <c r="AD622"/>
    </row>
    <row r="623" spans="1:30">
      <c r="A623">
        <v>2110060190</v>
      </c>
      <c r="B623" t="s">
        <v>30</v>
      </c>
      <c r="C623" t="s">
        <v>31</v>
      </c>
      <c r="D623" t="s">
        <v>32</v>
      </c>
      <c r="E623" t="s">
        <v>565</v>
      </c>
      <c r="F623" t="s">
        <v>340</v>
      </c>
      <c r="G623" t="s">
        <v>818</v>
      </c>
      <c r="H623" t="s">
        <v>35</v>
      </c>
      <c r="I623" t="s">
        <v>819</v>
      </c>
      <c r="J623" t="s">
        <v>820</v>
      </c>
      <c r="K623" t="str">
        <f>"73690079"</f>
        <v>0</v>
      </c>
      <c r="L623">
        <v>2551386</v>
      </c>
      <c r="M623"/>
      <c r="N623" t="s">
        <v>38</v>
      </c>
      <c r="O623" t="s">
        <v>38</v>
      </c>
      <c r="P623" t="s">
        <v>53</v>
      </c>
      <c r="Q623" t="s">
        <v>38</v>
      </c>
      <c r="R623" t="s">
        <v>38</v>
      </c>
      <c r="S623" t="s">
        <v>42</v>
      </c>
      <c r="T623" t="s">
        <v>42</v>
      </c>
      <c r="U623" t="s">
        <v>821</v>
      </c>
      <c r="V623" t="s">
        <v>44</v>
      </c>
      <c r="W623" t="s">
        <v>821</v>
      </c>
      <c r="X623" t="s">
        <v>785</v>
      </c>
      <c r="Y623" t="s">
        <v>811</v>
      </c>
      <c r="Z623" t="s">
        <v>47</v>
      </c>
      <c r="AA623"/>
      <c r="AB623"/>
      <c r="AC623"/>
      <c r="AD623"/>
    </row>
    <row r="624" spans="1:30">
      <c r="A624">
        <v>2110060084</v>
      </c>
      <c r="B624" t="s">
        <v>30</v>
      </c>
      <c r="C624" t="s">
        <v>31</v>
      </c>
      <c r="D624" t="s">
        <v>32</v>
      </c>
      <c r="E624" t="s">
        <v>118</v>
      </c>
      <c r="F624" t="s">
        <v>118</v>
      </c>
      <c r="G624" t="s">
        <v>305</v>
      </c>
      <c r="H624" t="s">
        <v>50</v>
      </c>
      <c r="I624" t="s">
        <v>306</v>
      </c>
      <c r="J624" t="s">
        <v>822</v>
      </c>
      <c r="K624" t="str">
        <f>"40979653"</f>
        <v>0</v>
      </c>
      <c r="L624">
        <v>1900000</v>
      </c>
      <c r="M624"/>
      <c r="N624" t="s">
        <v>38</v>
      </c>
      <c r="O624" t="s">
        <v>38</v>
      </c>
      <c r="P624" t="s">
        <v>53</v>
      </c>
      <c r="Q624" t="s">
        <v>38</v>
      </c>
      <c r="R624" t="s">
        <v>38</v>
      </c>
      <c r="S624" t="s">
        <v>42</v>
      </c>
      <c r="T624" t="s">
        <v>42</v>
      </c>
      <c r="U624" t="s">
        <v>823</v>
      </c>
      <c r="V624" t="s">
        <v>785</v>
      </c>
      <c r="W624" t="s">
        <v>823</v>
      </c>
      <c r="X624" t="s">
        <v>824</v>
      </c>
      <c r="Y624" t="s">
        <v>823</v>
      </c>
      <c r="Z624" t="s">
        <v>47</v>
      </c>
      <c r="AA624"/>
      <c r="AB624"/>
      <c r="AC624"/>
      <c r="AD624"/>
    </row>
    <row r="625" spans="1:30">
      <c r="A625">
        <v>2110060085</v>
      </c>
      <c r="B625" t="s">
        <v>30</v>
      </c>
      <c r="C625" t="s">
        <v>31</v>
      </c>
      <c r="D625" t="s">
        <v>32</v>
      </c>
      <c r="E625" t="s">
        <v>118</v>
      </c>
      <c r="F625" t="s">
        <v>118</v>
      </c>
      <c r="G625" t="s">
        <v>657</v>
      </c>
      <c r="H625" t="s">
        <v>35</v>
      </c>
      <c r="I625" t="s">
        <v>825</v>
      </c>
      <c r="J625" t="s">
        <v>315</v>
      </c>
      <c r="K625" t="str">
        <f>"na"</f>
        <v>0</v>
      </c>
      <c r="L625">
        <v>290000</v>
      </c>
      <c r="M625"/>
      <c r="N625" t="s">
        <v>38</v>
      </c>
      <c r="O625" t="s">
        <v>38</v>
      </c>
      <c r="P625" t="s">
        <v>53</v>
      </c>
      <c r="Q625" t="s">
        <v>38</v>
      </c>
      <c r="R625" t="s">
        <v>38</v>
      </c>
      <c r="S625" t="s">
        <v>42</v>
      </c>
      <c r="T625" t="s">
        <v>42</v>
      </c>
      <c r="U625" t="s">
        <v>826</v>
      </c>
      <c r="V625" t="s">
        <v>44</v>
      </c>
      <c r="W625" t="s">
        <v>826</v>
      </c>
      <c r="X625" t="s">
        <v>827</v>
      </c>
      <c r="Y625" t="s">
        <v>828</v>
      </c>
      <c r="Z625" t="s">
        <v>47</v>
      </c>
      <c r="AA625"/>
      <c r="AB625"/>
      <c r="AC625"/>
      <c r="AD625"/>
    </row>
    <row r="626" spans="1:30">
      <c r="A626">
        <v>2110060088</v>
      </c>
      <c r="B626" t="s">
        <v>30</v>
      </c>
      <c r="C626" t="s">
        <v>31</v>
      </c>
      <c r="D626" t="s">
        <v>32</v>
      </c>
      <c r="E626" t="s">
        <v>118</v>
      </c>
      <c r="F626" t="s">
        <v>118</v>
      </c>
      <c r="G626" t="s">
        <v>330</v>
      </c>
      <c r="H626" t="s">
        <v>35</v>
      </c>
      <c r="I626" t="s">
        <v>829</v>
      </c>
      <c r="J626" t="s">
        <v>830</v>
      </c>
      <c r="K626" t="str">
        <f>"1004-9848-0409"</f>
        <v>0</v>
      </c>
      <c r="L626">
        <v>369157</v>
      </c>
      <c r="M626"/>
      <c r="N626" t="s">
        <v>38</v>
      </c>
      <c r="O626" t="s">
        <v>38</v>
      </c>
      <c r="P626" t="s">
        <v>53</v>
      </c>
      <c r="Q626" t="s">
        <v>38</v>
      </c>
      <c r="R626" t="s">
        <v>38</v>
      </c>
      <c r="S626" t="s">
        <v>42</v>
      </c>
      <c r="T626" t="s">
        <v>42</v>
      </c>
      <c r="U626" t="s">
        <v>826</v>
      </c>
      <c r="V626" t="s">
        <v>44</v>
      </c>
      <c r="W626" t="s">
        <v>826</v>
      </c>
      <c r="X626" t="s">
        <v>785</v>
      </c>
      <c r="Y626" t="s">
        <v>828</v>
      </c>
      <c r="Z626" t="s">
        <v>47</v>
      </c>
      <c r="AA626"/>
      <c r="AB626"/>
      <c r="AC626"/>
      <c r="AD626" t="s">
        <v>831</v>
      </c>
    </row>
    <row r="627" spans="1:30">
      <c r="A627">
        <v>3110100155</v>
      </c>
      <c r="B627" t="s">
        <v>30</v>
      </c>
      <c r="C627" t="s">
        <v>61</v>
      </c>
      <c r="D627" t="s">
        <v>71</v>
      </c>
      <c r="E627" t="s">
        <v>215</v>
      </c>
      <c r="F627" t="s">
        <v>90</v>
      </c>
      <c r="G627" t="s">
        <v>523</v>
      </c>
      <c r="H627" t="s">
        <v>50</v>
      </c>
      <c r="I627" t="s">
        <v>832</v>
      </c>
      <c r="J627" t="s">
        <v>833</v>
      </c>
      <c r="K627" t="str">
        <f>"na"</f>
        <v>0</v>
      </c>
      <c r="L627">
        <v>30000</v>
      </c>
      <c r="M627"/>
      <c r="N627" t="s">
        <v>38</v>
      </c>
      <c r="O627" t="s">
        <v>38</v>
      </c>
      <c r="P627" t="s">
        <v>53</v>
      </c>
      <c r="Q627" t="s">
        <v>38</v>
      </c>
      <c r="R627" t="s">
        <v>38</v>
      </c>
      <c r="S627" t="s">
        <v>42</v>
      </c>
      <c r="T627" t="s">
        <v>42</v>
      </c>
      <c r="U627" t="s">
        <v>834</v>
      </c>
      <c r="V627" t="s">
        <v>636</v>
      </c>
      <c r="W627" t="s">
        <v>834</v>
      </c>
      <c r="X627" t="s">
        <v>824</v>
      </c>
      <c r="Y627" t="s">
        <v>835</v>
      </c>
      <c r="Z627" t="s">
        <v>47</v>
      </c>
      <c r="AA627"/>
      <c r="AB627"/>
      <c r="AC627"/>
      <c r="AD627" t="s">
        <v>808</v>
      </c>
    </row>
    <row r="628" spans="1:30">
      <c r="A628">
        <v>3110100156</v>
      </c>
      <c r="B628" t="s">
        <v>30</v>
      </c>
      <c r="C628" t="s">
        <v>61</v>
      </c>
      <c r="D628" t="s">
        <v>71</v>
      </c>
      <c r="E628" t="s">
        <v>215</v>
      </c>
      <c r="F628" t="s">
        <v>48</v>
      </c>
      <c r="G628" t="s">
        <v>646</v>
      </c>
      <c r="H628" t="s">
        <v>50</v>
      </c>
      <c r="I628" t="s">
        <v>295</v>
      </c>
      <c r="J628" t="s">
        <v>836</v>
      </c>
      <c r="K628" t="str">
        <f>"na"</f>
        <v>0</v>
      </c>
      <c r="L628">
        <v>30000</v>
      </c>
      <c r="M628"/>
      <c r="N628" t="s">
        <v>38</v>
      </c>
      <c r="O628" t="s">
        <v>38</v>
      </c>
      <c r="P628" t="s">
        <v>53</v>
      </c>
      <c r="Q628" t="s">
        <v>38</v>
      </c>
      <c r="R628" t="s">
        <v>38</v>
      </c>
      <c r="S628" t="s">
        <v>42</v>
      </c>
      <c r="T628" t="s">
        <v>42</v>
      </c>
      <c r="U628" t="s">
        <v>834</v>
      </c>
      <c r="V628" t="s">
        <v>636</v>
      </c>
      <c r="W628" t="s">
        <v>834</v>
      </c>
      <c r="X628" t="s">
        <v>824</v>
      </c>
      <c r="Y628" t="s">
        <v>835</v>
      </c>
      <c r="Z628" t="s">
        <v>47</v>
      </c>
      <c r="AA628"/>
      <c r="AB628"/>
      <c r="AC628"/>
      <c r="AD628" t="s">
        <v>638</v>
      </c>
    </row>
    <row r="629" spans="1:30">
      <c r="A629">
        <v>3110100157</v>
      </c>
      <c r="B629" t="s">
        <v>30</v>
      </c>
      <c r="C629" t="s">
        <v>61</v>
      </c>
      <c r="D629" t="s">
        <v>71</v>
      </c>
      <c r="E629" t="s">
        <v>215</v>
      </c>
      <c r="F629" t="s">
        <v>48</v>
      </c>
      <c r="G629" t="s">
        <v>837</v>
      </c>
      <c r="H629" t="s">
        <v>50</v>
      </c>
      <c r="I629" t="s">
        <v>838</v>
      </c>
      <c r="J629" t="s">
        <v>839</v>
      </c>
      <c r="K629" t="str">
        <f>"TLDU1692"</f>
        <v>0</v>
      </c>
      <c r="L629">
        <v>850000</v>
      </c>
      <c r="M629"/>
      <c r="N629" t="s">
        <v>38</v>
      </c>
      <c r="O629" t="s">
        <v>38</v>
      </c>
      <c r="P629" t="s">
        <v>53</v>
      </c>
      <c r="Q629" t="s">
        <v>38</v>
      </c>
      <c r="R629" t="s">
        <v>38</v>
      </c>
      <c r="S629" t="s">
        <v>42</v>
      </c>
      <c r="T629" t="s">
        <v>42</v>
      </c>
      <c r="U629" t="s">
        <v>834</v>
      </c>
      <c r="V629" t="s">
        <v>636</v>
      </c>
      <c r="W629" t="s">
        <v>834</v>
      </c>
      <c r="X629" t="s">
        <v>824</v>
      </c>
      <c r="Y629" t="s">
        <v>835</v>
      </c>
      <c r="Z629" t="s">
        <v>47</v>
      </c>
      <c r="AA629"/>
      <c r="AB629"/>
      <c r="AC629"/>
      <c r="AD629" t="s">
        <v>638</v>
      </c>
    </row>
    <row r="630" spans="1:30">
      <c r="A630">
        <v>3110100158</v>
      </c>
      <c r="B630" t="s">
        <v>30</v>
      </c>
      <c r="C630" t="s">
        <v>61</v>
      </c>
      <c r="D630" t="s">
        <v>71</v>
      </c>
      <c r="E630" t="s">
        <v>215</v>
      </c>
      <c r="F630" t="s">
        <v>90</v>
      </c>
      <c r="G630" t="s">
        <v>523</v>
      </c>
      <c r="H630" t="s">
        <v>50</v>
      </c>
      <c r="I630" t="s">
        <v>832</v>
      </c>
      <c r="J630" t="s">
        <v>840</v>
      </c>
      <c r="K630" t="str">
        <f>"na"</f>
        <v>0</v>
      </c>
      <c r="L630">
        <v>30000</v>
      </c>
      <c r="M630"/>
      <c r="N630" t="s">
        <v>38</v>
      </c>
      <c r="O630" t="s">
        <v>38</v>
      </c>
      <c r="P630" t="s">
        <v>53</v>
      </c>
      <c r="Q630" t="s">
        <v>38</v>
      </c>
      <c r="R630" t="s">
        <v>38</v>
      </c>
      <c r="S630" t="s">
        <v>42</v>
      </c>
      <c r="T630" t="s">
        <v>42</v>
      </c>
      <c r="U630" t="s">
        <v>834</v>
      </c>
      <c r="V630" t="s">
        <v>636</v>
      </c>
      <c r="W630" t="s">
        <v>834</v>
      </c>
      <c r="X630" t="s">
        <v>824</v>
      </c>
      <c r="Y630" t="s">
        <v>835</v>
      </c>
      <c r="Z630" t="s">
        <v>47</v>
      </c>
      <c r="AA630"/>
      <c r="AB630"/>
      <c r="AC630"/>
      <c r="AD630" t="s">
        <v>710</v>
      </c>
    </row>
    <row r="631" spans="1:30">
      <c r="A631">
        <v>2110060245</v>
      </c>
      <c r="B631" t="s">
        <v>30</v>
      </c>
      <c r="C631" t="s">
        <v>31</v>
      </c>
      <c r="D631" t="s">
        <v>32</v>
      </c>
      <c r="E631" t="s">
        <v>215</v>
      </c>
      <c r="F631" t="s">
        <v>48</v>
      </c>
      <c r="G631" t="s">
        <v>837</v>
      </c>
      <c r="H631" t="s">
        <v>50</v>
      </c>
      <c r="I631" t="s">
        <v>838</v>
      </c>
      <c r="J631" t="s">
        <v>841</v>
      </c>
      <c r="K631" t="str">
        <f>"TLDU0669"</f>
        <v>0</v>
      </c>
      <c r="L631">
        <v>850000</v>
      </c>
      <c r="M631"/>
      <c r="N631" t="s">
        <v>38</v>
      </c>
      <c r="O631" t="s">
        <v>38</v>
      </c>
      <c r="P631" t="s">
        <v>53</v>
      </c>
      <c r="Q631" t="s">
        <v>38</v>
      </c>
      <c r="R631" t="s">
        <v>38</v>
      </c>
      <c r="S631" t="s">
        <v>42</v>
      </c>
      <c r="T631" t="s">
        <v>42</v>
      </c>
      <c r="U631" t="s">
        <v>834</v>
      </c>
      <c r="V631" t="s">
        <v>636</v>
      </c>
      <c r="W631" t="s">
        <v>834</v>
      </c>
      <c r="X631" t="s">
        <v>824</v>
      </c>
      <c r="Y631" t="s">
        <v>835</v>
      </c>
      <c r="Z631" t="s">
        <v>47</v>
      </c>
      <c r="AA631"/>
      <c r="AB631"/>
      <c r="AC631"/>
      <c r="AD631" t="s">
        <v>638</v>
      </c>
    </row>
    <row r="632" spans="1:30">
      <c r="A632">
        <v>2110060001</v>
      </c>
      <c r="B632" t="s">
        <v>30</v>
      </c>
      <c r="C632" t="s">
        <v>31</v>
      </c>
      <c r="D632" t="s">
        <v>32</v>
      </c>
      <c r="E632" t="s">
        <v>842</v>
      </c>
      <c r="F632" t="s">
        <v>33</v>
      </c>
      <c r="G632" t="s">
        <v>843</v>
      </c>
      <c r="H632" t="s">
        <v>35</v>
      </c>
      <c r="I632" t="s">
        <v>844</v>
      </c>
      <c r="J632" t="s">
        <v>845</v>
      </c>
      <c r="K632" t="str">
        <f>"11174"</f>
        <v>0</v>
      </c>
      <c r="L632">
        <v>2190000</v>
      </c>
      <c r="M632"/>
      <c r="N632" t="s">
        <v>846</v>
      </c>
      <c r="O632" t="s">
        <v>38</v>
      </c>
      <c r="P632" t="s">
        <v>53</v>
      </c>
      <c r="Q632" t="s">
        <v>38</v>
      </c>
      <c r="R632" t="s">
        <v>38</v>
      </c>
      <c r="S632" t="s">
        <v>42</v>
      </c>
      <c r="T632" t="s">
        <v>42</v>
      </c>
      <c r="U632" t="s">
        <v>847</v>
      </c>
      <c r="V632" t="s">
        <v>636</v>
      </c>
      <c r="W632" t="s">
        <v>847</v>
      </c>
      <c r="X632" t="s">
        <v>824</v>
      </c>
      <c r="Y632" t="s">
        <v>848</v>
      </c>
      <c r="Z632" t="s">
        <v>47</v>
      </c>
      <c r="AA632"/>
      <c r="AB632"/>
      <c r="AC632"/>
      <c r="AD632" t="s">
        <v>849</v>
      </c>
    </row>
    <row r="633" spans="1:30">
      <c r="A633">
        <v>2110060003</v>
      </c>
      <c r="B633" t="s">
        <v>30</v>
      </c>
      <c r="C633" t="s">
        <v>31</v>
      </c>
      <c r="D633" t="s">
        <v>32</v>
      </c>
      <c r="E633" t="s">
        <v>842</v>
      </c>
      <c r="F633" t="s">
        <v>33</v>
      </c>
      <c r="G633" t="s">
        <v>850</v>
      </c>
      <c r="H633" t="s">
        <v>50</v>
      </c>
      <c r="I633" t="s">
        <v>262</v>
      </c>
      <c r="J633" t="s">
        <v>315</v>
      </c>
      <c r="K633" t="str">
        <f>"2K21030928-DX/HF"</f>
        <v>0</v>
      </c>
      <c r="L633">
        <v>853912</v>
      </c>
      <c r="M633"/>
      <c r="N633" t="s">
        <v>851</v>
      </c>
      <c r="O633" t="s">
        <v>38</v>
      </c>
      <c r="P633" t="s">
        <v>53</v>
      </c>
      <c r="Q633" t="s">
        <v>38</v>
      </c>
      <c r="R633" t="s">
        <v>38</v>
      </c>
      <c r="S633" t="s">
        <v>42</v>
      </c>
      <c r="T633" t="s">
        <v>42</v>
      </c>
      <c r="U633" t="s">
        <v>847</v>
      </c>
      <c r="V633" t="s">
        <v>636</v>
      </c>
      <c r="W633" t="s">
        <v>847</v>
      </c>
      <c r="X633" t="s">
        <v>824</v>
      </c>
      <c r="Y633" t="s">
        <v>848</v>
      </c>
      <c r="Z633" t="s">
        <v>47</v>
      </c>
      <c r="AA633"/>
      <c r="AB633"/>
      <c r="AC633"/>
      <c r="AD633" t="s">
        <v>638</v>
      </c>
    </row>
    <row r="634" spans="1:30">
      <c r="A634">
        <v>2110060004</v>
      </c>
      <c r="B634" t="s">
        <v>30</v>
      </c>
      <c r="C634" t="s">
        <v>31</v>
      </c>
      <c r="D634" t="s">
        <v>32</v>
      </c>
      <c r="E634" t="s">
        <v>842</v>
      </c>
      <c r="F634" t="s">
        <v>33</v>
      </c>
      <c r="G634" t="s">
        <v>608</v>
      </c>
      <c r="H634" t="s">
        <v>35</v>
      </c>
      <c r="I634" t="s">
        <v>262</v>
      </c>
      <c r="J634" t="s">
        <v>852</v>
      </c>
      <c r="K634" t="str">
        <f>"010810546"</f>
        <v>0</v>
      </c>
      <c r="L634">
        <v>131750</v>
      </c>
      <c r="M634"/>
      <c r="N634" t="s">
        <v>853</v>
      </c>
      <c r="O634" t="s">
        <v>38</v>
      </c>
      <c r="P634" t="s">
        <v>53</v>
      </c>
      <c r="Q634" t="s">
        <v>38</v>
      </c>
      <c r="R634" t="s">
        <v>38</v>
      </c>
      <c r="S634" t="s">
        <v>266</v>
      </c>
      <c r="T634" t="s">
        <v>266</v>
      </c>
      <c r="U634" t="s">
        <v>847</v>
      </c>
      <c r="V634" t="s">
        <v>636</v>
      </c>
      <c r="W634" t="s">
        <v>847</v>
      </c>
      <c r="X634" t="s">
        <v>824</v>
      </c>
      <c r="Y634" t="s">
        <v>848</v>
      </c>
      <c r="Z634" t="s">
        <v>70</v>
      </c>
      <c r="AA634"/>
      <c r="AB634"/>
      <c r="AC634"/>
      <c r="AD634" t="s">
        <v>854</v>
      </c>
    </row>
    <row r="635" spans="1:30">
      <c r="A635">
        <v>2110060005</v>
      </c>
      <c r="B635" t="s">
        <v>30</v>
      </c>
      <c r="C635" t="s">
        <v>31</v>
      </c>
      <c r="D635" t="s">
        <v>32</v>
      </c>
      <c r="E635" t="s">
        <v>842</v>
      </c>
      <c r="F635" t="s">
        <v>33</v>
      </c>
      <c r="G635" t="s">
        <v>623</v>
      </c>
      <c r="H635" t="s">
        <v>35</v>
      </c>
      <c r="I635" t="s">
        <v>855</v>
      </c>
      <c r="J635" t="s">
        <v>856</v>
      </c>
      <c r="K635" t="str">
        <f>"03331"</f>
        <v>0</v>
      </c>
      <c r="L635">
        <v>228000</v>
      </c>
      <c r="M635"/>
      <c r="N635" t="s">
        <v>857</v>
      </c>
      <c r="O635" t="s">
        <v>38</v>
      </c>
      <c r="P635" t="s">
        <v>53</v>
      </c>
      <c r="Q635" t="s">
        <v>38</v>
      </c>
      <c r="R635" t="s">
        <v>38</v>
      </c>
      <c r="S635" t="s">
        <v>266</v>
      </c>
      <c r="T635" t="s">
        <v>266</v>
      </c>
      <c r="U635" t="s">
        <v>847</v>
      </c>
      <c r="V635" t="s">
        <v>636</v>
      </c>
      <c r="W635" t="s">
        <v>847</v>
      </c>
      <c r="X635" t="s">
        <v>824</v>
      </c>
      <c r="Y635" t="s">
        <v>848</v>
      </c>
      <c r="Z635" t="s">
        <v>70</v>
      </c>
      <c r="AA635"/>
      <c r="AB635"/>
      <c r="AC635"/>
      <c r="AD635" t="s">
        <v>854</v>
      </c>
    </row>
    <row r="636" spans="1:30">
      <c r="A636">
        <v>2110060007</v>
      </c>
      <c r="B636" t="s">
        <v>30</v>
      </c>
      <c r="C636" t="s">
        <v>31</v>
      </c>
      <c r="D636" t="s">
        <v>32</v>
      </c>
      <c r="E636" t="s">
        <v>146</v>
      </c>
      <c r="F636" t="s">
        <v>147</v>
      </c>
      <c r="G636" t="s">
        <v>148</v>
      </c>
      <c r="H636" t="s">
        <v>35</v>
      </c>
      <c r="I636" t="s">
        <v>609</v>
      </c>
      <c r="J636"/>
      <c r="K636" t="str">
        <f>"DETE6L5956"</f>
        <v>0</v>
      </c>
      <c r="L636">
        <v>25625</v>
      </c>
      <c r="M636"/>
      <c r="N636" t="s">
        <v>38</v>
      </c>
      <c r="O636" t="s">
        <v>38</v>
      </c>
      <c r="P636" t="s">
        <v>53</v>
      </c>
      <c r="Q636" t="s">
        <v>38</v>
      </c>
      <c r="R636" t="s">
        <v>38</v>
      </c>
      <c r="S636" t="s">
        <v>42</v>
      </c>
      <c r="T636" t="s">
        <v>42</v>
      </c>
      <c r="U636" t="s">
        <v>847</v>
      </c>
      <c r="V636" t="s">
        <v>636</v>
      </c>
      <c r="W636" t="s">
        <v>847</v>
      </c>
      <c r="X636" t="s">
        <v>824</v>
      </c>
      <c r="Y636" t="s">
        <v>848</v>
      </c>
      <c r="Z636" t="s">
        <v>47</v>
      </c>
      <c r="AA636"/>
      <c r="AB636"/>
      <c r="AC636"/>
      <c r="AD636" t="s">
        <v>638</v>
      </c>
    </row>
    <row r="637" spans="1:30">
      <c r="A637">
        <v>2110060037</v>
      </c>
      <c r="B637" t="s">
        <v>30</v>
      </c>
      <c r="C637" t="s">
        <v>31</v>
      </c>
      <c r="D637" t="s">
        <v>32</v>
      </c>
      <c r="E637" t="s">
        <v>48</v>
      </c>
      <c r="F637" t="s">
        <v>48</v>
      </c>
      <c r="G637" t="s">
        <v>858</v>
      </c>
      <c r="H637" t="s">
        <v>35</v>
      </c>
      <c r="I637" t="s">
        <v>621</v>
      </c>
      <c r="J637" t="s">
        <v>859</v>
      </c>
      <c r="K637" t="str">
        <f>"60712"</f>
        <v>0</v>
      </c>
      <c r="L637">
        <v>1045000</v>
      </c>
      <c r="M637"/>
      <c r="N637" t="s">
        <v>860</v>
      </c>
      <c r="O637" t="s">
        <v>38</v>
      </c>
      <c r="P637" t="s">
        <v>53</v>
      </c>
      <c r="Q637" t="s">
        <v>38</v>
      </c>
      <c r="R637" t="s">
        <v>38</v>
      </c>
      <c r="S637" t="s">
        <v>42</v>
      </c>
      <c r="T637" t="s">
        <v>42</v>
      </c>
      <c r="U637" t="s">
        <v>847</v>
      </c>
      <c r="V637" t="s">
        <v>636</v>
      </c>
      <c r="W637" t="s">
        <v>847</v>
      </c>
      <c r="X637" t="s">
        <v>824</v>
      </c>
      <c r="Y637" t="s">
        <v>861</v>
      </c>
      <c r="Z637" t="s">
        <v>47</v>
      </c>
      <c r="AA637"/>
      <c r="AB637"/>
      <c r="AC637"/>
      <c r="AD637" t="s">
        <v>862</v>
      </c>
    </row>
    <row r="638" spans="1:30">
      <c r="A638">
        <v>2110060038</v>
      </c>
      <c r="B638" t="s">
        <v>30</v>
      </c>
      <c r="C638" t="s">
        <v>31</v>
      </c>
      <c r="D638" t="s">
        <v>32</v>
      </c>
      <c r="E638" t="s">
        <v>146</v>
      </c>
      <c r="F638" t="s">
        <v>147</v>
      </c>
      <c r="G638" t="s">
        <v>148</v>
      </c>
      <c r="H638" t="s">
        <v>35</v>
      </c>
      <c r="I638" t="s">
        <v>149</v>
      </c>
      <c r="J638" t="s">
        <v>315</v>
      </c>
      <c r="K638" t="str">
        <f>"V301A1911026"</f>
        <v>0</v>
      </c>
      <c r="L638">
        <v>47952</v>
      </c>
      <c r="M638"/>
      <c r="N638" t="s">
        <v>863</v>
      </c>
      <c r="O638" t="s">
        <v>38</v>
      </c>
      <c r="P638" t="s">
        <v>53</v>
      </c>
      <c r="Q638" t="s">
        <v>38</v>
      </c>
      <c r="R638" t="s">
        <v>38</v>
      </c>
      <c r="S638" t="s">
        <v>42</v>
      </c>
      <c r="T638" t="s">
        <v>42</v>
      </c>
      <c r="U638" t="s">
        <v>847</v>
      </c>
      <c r="V638" t="s">
        <v>636</v>
      </c>
      <c r="W638" t="s">
        <v>847</v>
      </c>
      <c r="X638" t="s">
        <v>824</v>
      </c>
      <c r="Y638" t="s">
        <v>861</v>
      </c>
      <c r="Z638" t="s">
        <v>47</v>
      </c>
      <c r="AA638"/>
      <c r="AB638"/>
      <c r="AC638"/>
      <c r="AD638" t="s">
        <v>638</v>
      </c>
    </row>
    <row r="639" spans="1:30">
      <c r="A639">
        <v>2110060039</v>
      </c>
      <c r="B639" t="s">
        <v>30</v>
      </c>
      <c r="C639" t="s">
        <v>31</v>
      </c>
      <c r="D639" t="s">
        <v>32</v>
      </c>
      <c r="E639" t="s">
        <v>471</v>
      </c>
      <c r="F639" t="s">
        <v>166</v>
      </c>
      <c r="G639" t="s">
        <v>167</v>
      </c>
      <c r="H639" t="s">
        <v>35</v>
      </c>
      <c r="I639" t="s">
        <v>311</v>
      </c>
      <c r="J639" t="s">
        <v>864</v>
      </c>
      <c r="K639" t="str">
        <f>"DE7580A17J"</f>
        <v>0</v>
      </c>
      <c r="L639">
        <v>529100</v>
      </c>
      <c r="M639"/>
      <c r="N639" t="s">
        <v>865</v>
      </c>
      <c r="O639" t="s">
        <v>38</v>
      </c>
      <c r="P639" t="s">
        <v>53</v>
      </c>
      <c r="Q639" t="s">
        <v>38</v>
      </c>
      <c r="R639" t="s">
        <v>38</v>
      </c>
      <c r="S639" t="s">
        <v>42</v>
      </c>
      <c r="T639" t="s">
        <v>42</v>
      </c>
      <c r="U639" t="s">
        <v>847</v>
      </c>
      <c r="V639" t="s">
        <v>636</v>
      </c>
      <c r="W639" t="s">
        <v>847</v>
      </c>
      <c r="X639" t="s">
        <v>824</v>
      </c>
      <c r="Y639" t="s">
        <v>861</v>
      </c>
      <c r="Z639" t="s">
        <v>47</v>
      </c>
      <c r="AA639"/>
      <c r="AB639"/>
      <c r="AC639"/>
      <c r="AD639" t="s">
        <v>638</v>
      </c>
    </row>
    <row r="640" spans="1:30">
      <c r="A640">
        <v>2110060044</v>
      </c>
      <c r="B640" t="s">
        <v>30</v>
      </c>
      <c r="C640" t="s">
        <v>31</v>
      </c>
      <c r="D640" t="s">
        <v>32</v>
      </c>
      <c r="E640" t="s">
        <v>468</v>
      </c>
      <c r="F640" t="s">
        <v>166</v>
      </c>
      <c r="G640" t="s">
        <v>167</v>
      </c>
      <c r="H640" t="s">
        <v>35</v>
      </c>
      <c r="I640" t="s">
        <v>311</v>
      </c>
      <c r="J640" t="s">
        <v>487</v>
      </c>
      <c r="K640" t="str">
        <f>"DE7580A1BY"</f>
        <v>0</v>
      </c>
      <c r="L640">
        <v>529100</v>
      </c>
      <c r="M640"/>
      <c r="N640" t="s">
        <v>866</v>
      </c>
      <c r="O640" t="s">
        <v>38</v>
      </c>
      <c r="P640" t="s">
        <v>53</v>
      </c>
      <c r="Q640" t="s">
        <v>38</v>
      </c>
      <c r="R640" t="s">
        <v>38</v>
      </c>
      <c r="S640" t="s">
        <v>42</v>
      </c>
      <c r="T640" t="s">
        <v>42</v>
      </c>
      <c r="U640" t="s">
        <v>847</v>
      </c>
      <c r="V640" t="s">
        <v>636</v>
      </c>
      <c r="W640" t="s">
        <v>847</v>
      </c>
      <c r="X640" t="s">
        <v>824</v>
      </c>
      <c r="Y640" t="s">
        <v>861</v>
      </c>
      <c r="Z640" t="s">
        <v>47</v>
      </c>
      <c r="AA640"/>
      <c r="AB640"/>
      <c r="AC640"/>
      <c r="AD640" t="s">
        <v>638</v>
      </c>
    </row>
    <row r="641" spans="1:30">
      <c r="A641">
        <v>2110060045</v>
      </c>
      <c r="B641" t="s">
        <v>30</v>
      </c>
      <c r="C641" t="s">
        <v>31</v>
      </c>
      <c r="D641" t="s">
        <v>32</v>
      </c>
      <c r="E641" t="s">
        <v>468</v>
      </c>
      <c r="F641" t="s">
        <v>166</v>
      </c>
      <c r="G641" t="s">
        <v>167</v>
      </c>
      <c r="H641" t="s">
        <v>35</v>
      </c>
      <c r="I641" t="s">
        <v>311</v>
      </c>
      <c r="J641" t="s">
        <v>487</v>
      </c>
      <c r="K641" t="str">
        <f>"DE7580A1AM"</f>
        <v>0</v>
      </c>
      <c r="L641">
        <v>529100</v>
      </c>
      <c r="M641"/>
      <c r="N641" t="s">
        <v>866</v>
      </c>
      <c r="O641" t="s">
        <v>38</v>
      </c>
      <c r="P641" t="s">
        <v>53</v>
      </c>
      <c r="Q641" t="s">
        <v>38</v>
      </c>
      <c r="R641" t="s">
        <v>38</v>
      </c>
      <c r="S641" t="s">
        <v>42</v>
      </c>
      <c r="T641" t="s">
        <v>42</v>
      </c>
      <c r="U641" t="s">
        <v>847</v>
      </c>
      <c r="V641" t="s">
        <v>636</v>
      </c>
      <c r="W641" t="s">
        <v>847</v>
      </c>
      <c r="X641" t="s">
        <v>824</v>
      </c>
      <c r="Y641" t="s">
        <v>861</v>
      </c>
      <c r="Z641" t="s">
        <v>47</v>
      </c>
      <c r="AA641"/>
      <c r="AB641"/>
      <c r="AC641"/>
      <c r="AD641" t="s">
        <v>638</v>
      </c>
    </row>
    <row r="642" spans="1:30">
      <c r="A642">
        <v>2110060046</v>
      </c>
      <c r="B642" t="s">
        <v>30</v>
      </c>
      <c r="C642" t="s">
        <v>31</v>
      </c>
      <c r="D642" t="s">
        <v>32</v>
      </c>
      <c r="E642" t="s">
        <v>468</v>
      </c>
      <c r="F642" t="s">
        <v>166</v>
      </c>
      <c r="G642" t="s">
        <v>167</v>
      </c>
      <c r="H642" t="s">
        <v>35</v>
      </c>
      <c r="I642" t="s">
        <v>311</v>
      </c>
      <c r="J642" t="s">
        <v>487</v>
      </c>
      <c r="K642" t="str">
        <f>"DE7580A1DV"</f>
        <v>0</v>
      </c>
      <c r="L642">
        <v>529100</v>
      </c>
      <c r="M642"/>
      <c r="N642" t="s">
        <v>866</v>
      </c>
      <c r="O642" t="s">
        <v>38</v>
      </c>
      <c r="P642" t="s">
        <v>53</v>
      </c>
      <c r="Q642" t="s">
        <v>38</v>
      </c>
      <c r="R642" t="s">
        <v>38</v>
      </c>
      <c r="S642" t="s">
        <v>42</v>
      </c>
      <c r="T642" t="s">
        <v>42</v>
      </c>
      <c r="U642" t="s">
        <v>847</v>
      </c>
      <c r="V642" t="s">
        <v>636</v>
      </c>
      <c r="W642" t="s">
        <v>847</v>
      </c>
      <c r="X642" t="s">
        <v>824</v>
      </c>
      <c r="Y642" t="s">
        <v>861</v>
      </c>
      <c r="Z642" t="s">
        <v>47</v>
      </c>
      <c r="AA642"/>
      <c r="AB642"/>
      <c r="AC642"/>
      <c r="AD642" t="s">
        <v>638</v>
      </c>
    </row>
    <row r="643" spans="1:30">
      <c r="A643">
        <v>2110060047</v>
      </c>
      <c r="B643" t="s">
        <v>30</v>
      </c>
      <c r="C643" t="s">
        <v>31</v>
      </c>
      <c r="D643" t="s">
        <v>32</v>
      </c>
      <c r="E643" t="s">
        <v>468</v>
      </c>
      <c r="F643" t="s">
        <v>166</v>
      </c>
      <c r="G643" t="s">
        <v>167</v>
      </c>
      <c r="H643" t="s">
        <v>35</v>
      </c>
      <c r="I643" t="s">
        <v>311</v>
      </c>
      <c r="J643" t="s">
        <v>487</v>
      </c>
      <c r="K643" t="str">
        <f>"DE7580A1D2"</f>
        <v>0</v>
      </c>
      <c r="L643">
        <v>529100</v>
      </c>
      <c r="M643"/>
      <c r="N643" t="s">
        <v>866</v>
      </c>
      <c r="O643" t="s">
        <v>38</v>
      </c>
      <c r="P643" t="s">
        <v>53</v>
      </c>
      <c r="Q643" t="s">
        <v>38</v>
      </c>
      <c r="R643" t="s">
        <v>38</v>
      </c>
      <c r="S643" t="s">
        <v>42</v>
      </c>
      <c r="T643" t="s">
        <v>42</v>
      </c>
      <c r="U643" t="s">
        <v>847</v>
      </c>
      <c r="V643" t="s">
        <v>636</v>
      </c>
      <c r="W643" t="s">
        <v>847</v>
      </c>
      <c r="X643" t="s">
        <v>824</v>
      </c>
      <c r="Y643" t="s">
        <v>861</v>
      </c>
      <c r="Z643" t="s">
        <v>47</v>
      </c>
      <c r="AA643"/>
      <c r="AB643"/>
      <c r="AC643"/>
      <c r="AD643" t="s">
        <v>638</v>
      </c>
    </row>
    <row r="644" spans="1:30">
      <c r="A644">
        <v>2110060050</v>
      </c>
      <c r="B644" t="s">
        <v>30</v>
      </c>
      <c r="C644" t="s">
        <v>31</v>
      </c>
      <c r="D644" t="s">
        <v>32</v>
      </c>
      <c r="E644" t="s">
        <v>468</v>
      </c>
      <c r="F644" t="s">
        <v>166</v>
      </c>
      <c r="G644" t="s">
        <v>167</v>
      </c>
      <c r="H644" t="s">
        <v>35</v>
      </c>
      <c r="I644" t="s">
        <v>311</v>
      </c>
      <c r="J644" t="s">
        <v>487</v>
      </c>
      <c r="K644" t="str">
        <f>"DE671H1928"</f>
        <v>0</v>
      </c>
      <c r="L644">
        <v>529100</v>
      </c>
      <c r="M644"/>
      <c r="N644" t="s">
        <v>867</v>
      </c>
      <c r="O644" t="s">
        <v>38</v>
      </c>
      <c r="P644" t="s">
        <v>53</v>
      </c>
      <c r="Q644" t="s">
        <v>38</v>
      </c>
      <c r="R644" t="s">
        <v>38</v>
      </c>
      <c r="S644" t="s">
        <v>42</v>
      </c>
      <c r="T644" t="s">
        <v>42</v>
      </c>
      <c r="U644" t="s">
        <v>847</v>
      </c>
      <c r="V644" t="s">
        <v>636</v>
      </c>
      <c r="W644" t="s">
        <v>847</v>
      </c>
      <c r="X644" t="s">
        <v>824</v>
      </c>
      <c r="Y644" t="s">
        <v>861</v>
      </c>
      <c r="Z644" t="s">
        <v>47</v>
      </c>
      <c r="AA644"/>
      <c r="AB644"/>
      <c r="AC644"/>
      <c r="AD644" t="s">
        <v>638</v>
      </c>
    </row>
    <row r="645" spans="1:30">
      <c r="A645">
        <v>2110060052</v>
      </c>
      <c r="B645" t="s">
        <v>30</v>
      </c>
      <c r="C645" t="s">
        <v>31</v>
      </c>
      <c r="D645" t="s">
        <v>32</v>
      </c>
      <c r="E645" t="s">
        <v>868</v>
      </c>
      <c r="F645" t="s">
        <v>166</v>
      </c>
      <c r="G645" t="s">
        <v>167</v>
      </c>
      <c r="H645" t="s">
        <v>35</v>
      </c>
      <c r="I645" t="s">
        <v>311</v>
      </c>
      <c r="J645" t="s">
        <v>315</v>
      </c>
      <c r="K645" t="str">
        <f>"DE671G1688"</f>
        <v>0</v>
      </c>
      <c r="L645">
        <v>529100</v>
      </c>
      <c r="M645"/>
      <c r="N645" t="s">
        <v>869</v>
      </c>
      <c r="O645" t="s">
        <v>38</v>
      </c>
      <c r="P645" t="s">
        <v>53</v>
      </c>
      <c r="Q645" t="s">
        <v>38</v>
      </c>
      <c r="R645" t="s">
        <v>38</v>
      </c>
      <c r="S645" t="s">
        <v>42</v>
      </c>
      <c r="T645" t="s">
        <v>42</v>
      </c>
      <c r="U645" t="s">
        <v>847</v>
      </c>
      <c r="V645" t="s">
        <v>636</v>
      </c>
      <c r="W645" t="s">
        <v>847</v>
      </c>
      <c r="X645" t="s">
        <v>824</v>
      </c>
      <c r="Y645" t="s">
        <v>861</v>
      </c>
      <c r="Z645" t="s">
        <v>47</v>
      </c>
      <c r="AA645"/>
      <c r="AB645"/>
      <c r="AC645"/>
      <c r="AD645" t="s">
        <v>638</v>
      </c>
    </row>
    <row r="646" spans="1:30">
      <c r="A646">
        <v>2110060053</v>
      </c>
      <c r="B646" t="s">
        <v>30</v>
      </c>
      <c r="C646" t="s">
        <v>31</v>
      </c>
      <c r="D646" t="s">
        <v>32</v>
      </c>
      <c r="E646" t="s">
        <v>868</v>
      </c>
      <c r="F646" t="s">
        <v>166</v>
      </c>
      <c r="G646" t="s">
        <v>167</v>
      </c>
      <c r="H646" t="s">
        <v>35</v>
      </c>
      <c r="I646" t="s">
        <v>311</v>
      </c>
      <c r="J646" t="s">
        <v>315</v>
      </c>
      <c r="K646" t="str">
        <f>"DE67G1744"</f>
        <v>0</v>
      </c>
      <c r="L646">
        <v>529100</v>
      </c>
      <c r="M646"/>
      <c r="N646" t="s">
        <v>869</v>
      </c>
      <c r="O646" t="s">
        <v>38</v>
      </c>
      <c r="P646" t="s">
        <v>53</v>
      </c>
      <c r="Q646" t="s">
        <v>38</v>
      </c>
      <c r="R646" t="s">
        <v>38</v>
      </c>
      <c r="S646" t="s">
        <v>42</v>
      </c>
      <c r="T646" t="s">
        <v>42</v>
      </c>
      <c r="U646" t="s">
        <v>847</v>
      </c>
      <c r="V646" t="s">
        <v>636</v>
      </c>
      <c r="W646" t="s">
        <v>847</v>
      </c>
      <c r="X646" t="s">
        <v>824</v>
      </c>
      <c r="Y646" t="s">
        <v>861</v>
      </c>
      <c r="Z646" t="s">
        <v>47</v>
      </c>
      <c r="AA646"/>
      <c r="AB646"/>
      <c r="AC646"/>
      <c r="AD646" t="s">
        <v>638</v>
      </c>
    </row>
    <row r="647" spans="1:30">
      <c r="A647">
        <v>2110060055</v>
      </c>
      <c r="B647" t="s">
        <v>30</v>
      </c>
      <c r="C647" t="s">
        <v>31</v>
      </c>
      <c r="D647" t="s">
        <v>32</v>
      </c>
      <c r="E647" t="s">
        <v>868</v>
      </c>
      <c r="F647" t="s">
        <v>194</v>
      </c>
      <c r="G647" t="s">
        <v>195</v>
      </c>
      <c r="H647" t="s">
        <v>50</v>
      </c>
      <c r="I647" t="s">
        <v>196</v>
      </c>
      <c r="J647" t="s">
        <v>473</v>
      </c>
      <c r="K647" t="str">
        <f>"015914"</f>
        <v>0</v>
      </c>
      <c r="L647">
        <v>51700</v>
      </c>
      <c r="M647"/>
      <c r="N647" t="s">
        <v>863</v>
      </c>
      <c r="O647" t="s">
        <v>38</v>
      </c>
      <c r="P647" t="s">
        <v>53</v>
      </c>
      <c r="Q647" t="s">
        <v>38</v>
      </c>
      <c r="R647" t="s">
        <v>38</v>
      </c>
      <c r="S647" t="s">
        <v>42</v>
      </c>
      <c r="T647" t="s">
        <v>42</v>
      </c>
      <c r="U647" t="s">
        <v>847</v>
      </c>
      <c r="V647" t="s">
        <v>636</v>
      </c>
      <c r="W647" t="s">
        <v>847</v>
      </c>
      <c r="X647" t="s">
        <v>824</v>
      </c>
      <c r="Y647" t="s">
        <v>861</v>
      </c>
      <c r="Z647" t="s">
        <v>47</v>
      </c>
      <c r="AA647"/>
      <c r="AB647"/>
      <c r="AC647"/>
      <c r="AD647" t="s">
        <v>638</v>
      </c>
    </row>
    <row r="648" spans="1:30">
      <c r="A648">
        <v>2110060056</v>
      </c>
      <c r="B648" t="s">
        <v>30</v>
      </c>
      <c r="C648" t="s">
        <v>31</v>
      </c>
      <c r="D648" t="s">
        <v>32</v>
      </c>
      <c r="E648" t="s">
        <v>868</v>
      </c>
      <c r="F648" t="s">
        <v>147</v>
      </c>
      <c r="G648" t="s">
        <v>360</v>
      </c>
      <c r="H648" t="s">
        <v>35</v>
      </c>
      <c r="I648" t="s">
        <v>432</v>
      </c>
      <c r="J648" t="s">
        <v>870</v>
      </c>
      <c r="K648" t="str">
        <f>"16404"</f>
        <v>0</v>
      </c>
      <c r="L648">
        <v>548000</v>
      </c>
      <c r="M648"/>
      <c r="N648" t="s">
        <v>863</v>
      </c>
      <c r="O648" t="s">
        <v>38</v>
      </c>
      <c r="P648" t="s">
        <v>53</v>
      </c>
      <c r="Q648" t="s">
        <v>38</v>
      </c>
      <c r="R648" t="s">
        <v>38</v>
      </c>
      <c r="S648" t="s">
        <v>42</v>
      </c>
      <c r="T648" t="s">
        <v>42</v>
      </c>
      <c r="U648" t="s">
        <v>847</v>
      </c>
      <c r="V648" t="s">
        <v>636</v>
      </c>
      <c r="W648" t="s">
        <v>847</v>
      </c>
      <c r="X648" t="s">
        <v>824</v>
      </c>
      <c r="Y648" t="s">
        <v>861</v>
      </c>
      <c r="Z648" t="s">
        <v>47</v>
      </c>
      <c r="AA648"/>
      <c r="AB648"/>
      <c r="AC648"/>
      <c r="AD648" t="s">
        <v>638</v>
      </c>
    </row>
    <row r="649" spans="1:30">
      <c r="A649">
        <v>2110060057</v>
      </c>
      <c r="B649" t="s">
        <v>30</v>
      </c>
      <c r="C649" t="s">
        <v>31</v>
      </c>
      <c r="D649" t="s">
        <v>32</v>
      </c>
      <c r="E649" t="s">
        <v>868</v>
      </c>
      <c r="F649" t="s">
        <v>64</v>
      </c>
      <c r="G649" t="s">
        <v>99</v>
      </c>
      <c r="H649" t="s">
        <v>50</v>
      </c>
      <c r="I649" t="s">
        <v>408</v>
      </c>
      <c r="J649" t="s">
        <v>770</v>
      </c>
      <c r="K649" t="str">
        <f>"MZJ10D48651"</f>
        <v>0</v>
      </c>
      <c r="L649">
        <v>86400</v>
      </c>
      <c r="M649"/>
      <c r="N649" t="s">
        <v>863</v>
      </c>
      <c r="O649" t="s">
        <v>38</v>
      </c>
      <c r="P649" t="s">
        <v>53</v>
      </c>
      <c r="Q649" t="s">
        <v>38</v>
      </c>
      <c r="R649" t="s">
        <v>38</v>
      </c>
      <c r="S649" t="s">
        <v>42</v>
      </c>
      <c r="T649" t="s">
        <v>42</v>
      </c>
      <c r="U649" t="s">
        <v>847</v>
      </c>
      <c r="V649" t="s">
        <v>636</v>
      </c>
      <c r="W649" t="s">
        <v>847</v>
      </c>
      <c r="X649" t="s">
        <v>824</v>
      </c>
      <c r="Y649" t="s">
        <v>861</v>
      </c>
      <c r="Z649" t="s">
        <v>47</v>
      </c>
      <c r="AA649"/>
      <c r="AB649"/>
      <c r="AC649"/>
      <c r="AD649" t="s">
        <v>638</v>
      </c>
    </row>
    <row r="650" spans="1:30">
      <c r="A650">
        <v>2110060060</v>
      </c>
      <c r="B650" t="s">
        <v>30</v>
      </c>
      <c r="C650" t="s">
        <v>31</v>
      </c>
      <c r="D650" t="s">
        <v>32</v>
      </c>
      <c r="E650" t="s">
        <v>868</v>
      </c>
      <c r="F650" t="s">
        <v>113</v>
      </c>
      <c r="G650" t="s">
        <v>114</v>
      </c>
      <c r="H650" t="s">
        <v>35</v>
      </c>
      <c r="I650" t="s">
        <v>115</v>
      </c>
      <c r="J650" t="s">
        <v>871</v>
      </c>
      <c r="K650" t="str">
        <f>"ASG L1207086"</f>
        <v>0</v>
      </c>
      <c r="L650">
        <v>79420</v>
      </c>
      <c r="M650"/>
      <c r="N650" t="s">
        <v>872</v>
      </c>
      <c r="O650" t="s">
        <v>38</v>
      </c>
      <c r="P650" t="s">
        <v>53</v>
      </c>
      <c r="Q650" t="s">
        <v>38</v>
      </c>
      <c r="R650" t="s">
        <v>38</v>
      </c>
      <c r="S650" t="s">
        <v>42</v>
      </c>
      <c r="T650" t="s">
        <v>42</v>
      </c>
      <c r="U650" t="s">
        <v>847</v>
      </c>
      <c r="V650" t="s">
        <v>636</v>
      </c>
      <c r="W650" t="s">
        <v>847</v>
      </c>
      <c r="X650" t="s">
        <v>824</v>
      </c>
      <c r="Y650" t="s">
        <v>861</v>
      </c>
      <c r="Z650" t="s">
        <v>47</v>
      </c>
      <c r="AA650"/>
      <c r="AB650"/>
      <c r="AC650"/>
      <c r="AD650" t="s">
        <v>638</v>
      </c>
    </row>
    <row r="651" spans="1:30">
      <c r="A651">
        <v>2110060061</v>
      </c>
      <c r="B651" t="s">
        <v>30</v>
      </c>
      <c r="C651" t="s">
        <v>31</v>
      </c>
      <c r="D651" t="s">
        <v>32</v>
      </c>
      <c r="E651" t="s">
        <v>868</v>
      </c>
      <c r="F651" t="s">
        <v>387</v>
      </c>
      <c r="G651" t="s">
        <v>388</v>
      </c>
      <c r="H651" t="s">
        <v>50</v>
      </c>
      <c r="I651" t="s">
        <v>749</v>
      </c>
      <c r="J651" t="s">
        <v>750</v>
      </c>
      <c r="K651" t="str">
        <f>"HT-17-C-4318"</f>
        <v>0</v>
      </c>
      <c r="L651">
        <v>220080</v>
      </c>
      <c r="M651"/>
      <c r="N651" t="s">
        <v>873</v>
      </c>
      <c r="O651" t="s">
        <v>38</v>
      </c>
      <c r="P651" t="s">
        <v>53</v>
      </c>
      <c r="Q651" t="s">
        <v>38</v>
      </c>
      <c r="R651" t="s">
        <v>38</v>
      </c>
      <c r="S651" t="s">
        <v>68</v>
      </c>
      <c r="T651" t="s">
        <v>42</v>
      </c>
      <c r="U651" t="s">
        <v>847</v>
      </c>
      <c r="V651" t="s">
        <v>636</v>
      </c>
      <c r="W651" t="s">
        <v>847</v>
      </c>
      <c r="X651" t="s">
        <v>824</v>
      </c>
      <c r="Y651" t="s">
        <v>861</v>
      </c>
      <c r="Z651" t="s">
        <v>47</v>
      </c>
      <c r="AA651"/>
      <c r="AB651"/>
      <c r="AC651"/>
      <c r="AD651" t="s">
        <v>638</v>
      </c>
    </row>
    <row r="652" spans="1:30">
      <c r="A652">
        <v>2110060062</v>
      </c>
      <c r="B652" t="s">
        <v>30</v>
      </c>
      <c r="C652" t="s">
        <v>31</v>
      </c>
      <c r="D652" t="s">
        <v>32</v>
      </c>
      <c r="E652" t="s">
        <v>868</v>
      </c>
      <c r="F652" t="s">
        <v>143</v>
      </c>
      <c r="G652" t="s">
        <v>144</v>
      </c>
      <c r="H652" t="s">
        <v>50</v>
      </c>
      <c r="I652" t="s">
        <v>404</v>
      </c>
      <c r="J652" t="s">
        <v>315</v>
      </c>
      <c r="K652" t="str">
        <f>"NA"</f>
        <v>0</v>
      </c>
      <c r="L652">
        <v>34335</v>
      </c>
      <c r="M652"/>
      <c r="N652" t="s">
        <v>874</v>
      </c>
      <c r="O652" t="s">
        <v>38</v>
      </c>
      <c r="P652" t="s">
        <v>53</v>
      </c>
      <c r="Q652" t="s">
        <v>38</v>
      </c>
      <c r="R652" t="s">
        <v>38</v>
      </c>
      <c r="S652" t="s">
        <v>42</v>
      </c>
      <c r="T652" t="s">
        <v>42</v>
      </c>
      <c r="U652" t="s">
        <v>847</v>
      </c>
      <c r="V652" t="s">
        <v>636</v>
      </c>
      <c r="W652" t="s">
        <v>847</v>
      </c>
      <c r="X652" t="s">
        <v>824</v>
      </c>
      <c r="Y652" t="s">
        <v>861</v>
      </c>
      <c r="Z652" t="s">
        <v>47</v>
      </c>
      <c r="AA652"/>
      <c r="AB652"/>
      <c r="AC652"/>
      <c r="AD652" t="s">
        <v>638</v>
      </c>
    </row>
    <row r="653" spans="1:30">
      <c r="A653">
        <v>2110060063</v>
      </c>
      <c r="B653" t="s">
        <v>30</v>
      </c>
      <c r="C653" t="s">
        <v>31</v>
      </c>
      <c r="D653" t="s">
        <v>32</v>
      </c>
      <c r="E653" t="s">
        <v>868</v>
      </c>
      <c r="F653" t="s">
        <v>143</v>
      </c>
      <c r="G653" t="s">
        <v>144</v>
      </c>
      <c r="H653" t="s">
        <v>50</v>
      </c>
      <c r="I653" t="s">
        <v>404</v>
      </c>
      <c r="J653" t="s">
        <v>315</v>
      </c>
      <c r="K653" t="str">
        <f>"NA"</f>
        <v>0</v>
      </c>
      <c r="L653">
        <v>34335</v>
      </c>
      <c r="M653"/>
      <c r="N653" t="s">
        <v>874</v>
      </c>
      <c r="O653" t="s">
        <v>38</v>
      </c>
      <c r="P653" t="s">
        <v>53</v>
      </c>
      <c r="Q653" t="s">
        <v>38</v>
      </c>
      <c r="R653" t="s">
        <v>38</v>
      </c>
      <c r="S653" t="s">
        <v>42</v>
      </c>
      <c r="T653" t="s">
        <v>42</v>
      </c>
      <c r="U653" t="s">
        <v>847</v>
      </c>
      <c r="V653" t="s">
        <v>636</v>
      </c>
      <c r="W653" t="s">
        <v>847</v>
      </c>
      <c r="X653" t="s">
        <v>824</v>
      </c>
      <c r="Y653" t="s">
        <v>861</v>
      </c>
      <c r="Z653" t="s">
        <v>47</v>
      </c>
      <c r="AA653"/>
      <c r="AB653"/>
      <c r="AC653"/>
      <c r="AD653" t="s">
        <v>638</v>
      </c>
    </row>
    <row r="654" spans="1:30">
      <c r="A654">
        <v>2110060064</v>
      </c>
      <c r="B654" t="s">
        <v>30</v>
      </c>
      <c r="C654" t="s">
        <v>31</v>
      </c>
      <c r="D654" t="s">
        <v>32</v>
      </c>
      <c r="E654" t="s">
        <v>48</v>
      </c>
      <c r="F654" t="s">
        <v>48</v>
      </c>
      <c r="G654" t="s">
        <v>431</v>
      </c>
      <c r="H654" t="s">
        <v>35</v>
      </c>
      <c r="I654" t="s">
        <v>644</v>
      </c>
      <c r="J654" t="s">
        <v>875</v>
      </c>
      <c r="K654" t="str">
        <f>"201010"</f>
        <v>0</v>
      </c>
      <c r="L654">
        <v>188750</v>
      </c>
      <c r="M654"/>
      <c r="N654" t="s">
        <v>876</v>
      </c>
      <c r="O654" t="s">
        <v>38</v>
      </c>
      <c r="P654" t="s">
        <v>53</v>
      </c>
      <c r="Q654" t="s">
        <v>38</v>
      </c>
      <c r="R654" t="s">
        <v>38</v>
      </c>
      <c r="S654" t="s">
        <v>42</v>
      </c>
      <c r="T654" t="s">
        <v>42</v>
      </c>
      <c r="U654" t="s">
        <v>847</v>
      </c>
      <c r="V654" t="s">
        <v>636</v>
      </c>
      <c r="W654" t="s">
        <v>847</v>
      </c>
      <c r="X654" t="s">
        <v>824</v>
      </c>
      <c r="Y654" t="s">
        <v>861</v>
      </c>
      <c r="Z654" t="s">
        <v>47</v>
      </c>
      <c r="AA654"/>
      <c r="AB654"/>
      <c r="AC654"/>
      <c r="AD654" t="s">
        <v>638</v>
      </c>
    </row>
    <row r="655" spans="1:30">
      <c r="A655">
        <v>2110060065</v>
      </c>
      <c r="B655" t="s">
        <v>30</v>
      </c>
      <c r="C655" t="s">
        <v>31</v>
      </c>
      <c r="D655" t="s">
        <v>32</v>
      </c>
      <c r="E655" t="s">
        <v>48</v>
      </c>
      <c r="F655" t="s">
        <v>48</v>
      </c>
      <c r="G655" t="s">
        <v>431</v>
      </c>
      <c r="H655" t="s">
        <v>35</v>
      </c>
      <c r="I655" t="s">
        <v>644</v>
      </c>
      <c r="J655" t="s">
        <v>877</v>
      </c>
      <c r="K655" t="str">
        <f>"201009"</f>
        <v>0</v>
      </c>
      <c r="L655">
        <v>188750</v>
      </c>
      <c r="M655"/>
      <c r="N655" t="s">
        <v>876</v>
      </c>
      <c r="O655" t="s">
        <v>38</v>
      </c>
      <c r="P655" t="s">
        <v>53</v>
      </c>
      <c r="Q655" t="s">
        <v>38</v>
      </c>
      <c r="R655" t="s">
        <v>38</v>
      </c>
      <c r="S655" t="s">
        <v>42</v>
      </c>
      <c r="T655" t="s">
        <v>42</v>
      </c>
      <c r="U655" t="s">
        <v>847</v>
      </c>
      <c r="V655" t="s">
        <v>636</v>
      </c>
      <c r="W655" t="s">
        <v>847</v>
      </c>
      <c r="X655" t="s">
        <v>824</v>
      </c>
      <c r="Y655" t="s">
        <v>861</v>
      </c>
      <c r="Z655" t="s">
        <v>47</v>
      </c>
      <c r="AA655"/>
      <c r="AB655"/>
      <c r="AC655"/>
      <c r="AD655" t="s">
        <v>638</v>
      </c>
    </row>
    <row r="656" spans="1:30">
      <c r="A656">
        <v>2110060008</v>
      </c>
      <c r="B656" t="s">
        <v>30</v>
      </c>
      <c r="C656" t="s">
        <v>31</v>
      </c>
      <c r="D656" t="s">
        <v>32</v>
      </c>
      <c r="E656" t="s">
        <v>446</v>
      </c>
      <c r="F656" t="s">
        <v>166</v>
      </c>
      <c r="G656" t="s">
        <v>167</v>
      </c>
      <c r="H656" t="s">
        <v>35</v>
      </c>
      <c r="I656" t="s">
        <v>311</v>
      </c>
      <c r="J656" t="s">
        <v>312</v>
      </c>
      <c r="K656" t="str">
        <f>"DE671H1926"</f>
        <v>0</v>
      </c>
      <c r="L656">
        <v>529100</v>
      </c>
      <c r="M656"/>
      <c r="N656" t="s">
        <v>863</v>
      </c>
      <c r="O656" t="s">
        <v>38</v>
      </c>
      <c r="P656" t="s">
        <v>53</v>
      </c>
      <c r="Q656" t="s">
        <v>38</v>
      </c>
      <c r="R656" t="s">
        <v>38</v>
      </c>
      <c r="S656" t="s">
        <v>42</v>
      </c>
      <c r="T656" t="s">
        <v>42</v>
      </c>
      <c r="U656" t="s">
        <v>847</v>
      </c>
      <c r="V656" t="s">
        <v>636</v>
      </c>
      <c r="W656" t="s">
        <v>847</v>
      </c>
      <c r="X656" t="s">
        <v>824</v>
      </c>
      <c r="Y656" t="s">
        <v>861</v>
      </c>
      <c r="Z656" t="s">
        <v>47</v>
      </c>
      <c r="AA656"/>
      <c r="AB656"/>
      <c r="AC656"/>
      <c r="AD656" t="s">
        <v>638</v>
      </c>
    </row>
    <row r="657" spans="1:30">
      <c r="A657">
        <v>2110060009</v>
      </c>
      <c r="B657" t="s">
        <v>30</v>
      </c>
      <c r="C657" t="s">
        <v>31</v>
      </c>
      <c r="D657" t="s">
        <v>32</v>
      </c>
      <c r="E657" t="s">
        <v>446</v>
      </c>
      <c r="F657" t="s">
        <v>166</v>
      </c>
      <c r="G657" t="s">
        <v>167</v>
      </c>
      <c r="H657" t="s">
        <v>35</v>
      </c>
      <c r="I657" t="s">
        <v>311</v>
      </c>
      <c r="J657" t="s">
        <v>312</v>
      </c>
      <c r="K657" t="str">
        <f>"DE671H1921"</f>
        <v>0</v>
      </c>
      <c r="L657">
        <v>529100</v>
      </c>
      <c r="M657"/>
      <c r="N657" t="s">
        <v>863</v>
      </c>
      <c r="O657" t="s">
        <v>38</v>
      </c>
      <c r="P657" t="s">
        <v>53</v>
      </c>
      <c r="Q657" t="s">
        <v>38</v>
      </c>
      <c r="R657" t="s">
        <v>38</v>
      </c>
      <c r="S657" t="s">
        <v>42</v>
      </c>
      <c r="T657" t="s">
        <v>42</v>
      </c>
      <c r="U657" t="s">
        <v>847</v>
      </c>
      <c r="V657" t="s">
        <v>636</v>
      </c>
      <c r="W657" t="s">
        <v>847</v>
      </c>
      <c r="X657" t="s">
        <v>824</v>
      </c>
      <c r="Y657" t="s">
        <v>861</v>
      </c>
      <c r="Z657" t="s">
        <v>47</v>
      </c>
      <c r="AA657"/>
      <c r="AB657"/>
      <c r="AC657"/>
      <c r="AD657" t="s">
        <v>638</v>
      </c>
    </row>
    <row r="658" spans="1:30">
      <c r="A658">
        <v>2110060010</v>
      </c>
      <c r="B658" t="s">
        <v>30</v>
      </c>
      <c r="C658" t="s">
        <v>31</v>
      </c>
      <c r="D658" t="s">
        <v>32</v>
      </c>
      <c r="E658" t="s">
        <v>446</v>
      </c>
      <c r="F658" t="s">
        <v>166</v>
      </c>
      <c r="G658" t="s">
        <v>167</v>
      </c>
      <c r="H658" t="s">
        <v>35</v>
      </c>
      <c r="I658" t="s">
        <v>311</v>
      </c>
      <c r="J658" t="s">
        <v>312</v>
      </c>
      <c r="K658" t="str">
        <f>"DE671H1920"</f>
        <v>0</v>
      </c>
      <c r="L658">
        <v>529100</v>
      </c>
      <c r="M658"/>
      <c r="N658" t="s">
        <v>863</v>
      </c>
      <c r="O658" t="s">
        <v>38</v>
      </c>
      <c r="P658" t="s">
        <v>53</v>
      </c>
      <c r="Q658" t="s">
        <v>38</v>
      </c>
      <c r="R658" t="s">
        <v>38</v>
      </c>
      <c r="S658" t="s">
        <v>42</v>
      </c>
      <c r="T658" t="s">
        <v>42</v>
      </c>
      <c r="U658" t="s">
        <v>847</v>
      </c>
      <c r="V658" t="s">
        <v>636</v>
      </c>
      <c r="W658" t="s">
        <v>847</v>
      </c>
      <c r="X658" t="s">
        <v>824</v>
      </c>
      <c r="Y658" t="s">
        <v>861</v>
      </c>
      <c r="Z658" t="s">
        <v>47</v>
      </c>
      <c r="AA658"/>
      <c r="AB658"/>
      <c r="AC658"/>
      <c r="AD658" t="s">
        <v>638</v>
      </c>
    </row>
    <row r="659" spans="1:30">
      <c r="A659">
        <v>2110060011</v>
      </c>
      <c r="B659" t="s">
        <v>30</v>
      </c>
      <c r="C659" t="s">
        <v>31</v>
      </c>
      <c r="D659" t="s">
        <v>32</v>
      </c>
      <c r="E659" t="s">
        <v>446</v>
      </c>
      <c r="F659" t="s">
        <v>166</v>
      </c>
      <c r="G659" t="s">
        <v>167</v>
      </c>
      <c r="H659" t="s">
        <v>35</v>
      </c>
      <c r="I659" t="s">
        <v>311</v>
      </c>
      <c r="J659" t="s">
        <v>312</v>
      </c>
      <c r="K659" t="str">
        <f>"DE671H1923"</f>
        <v>0</v>
      </c>
      <c r="L659">
        <v>529100</v>
      </c>
      <c r="M659"/>
      <c r="N659" t="s">
        <v>863</v>
      </c>
      <c r="O659" t="s">
        <v>38</v>
      </c>
      <c r="P659" t="s">
        <v>53</v>
      </c>
      <c r="Q659" t="s">
        <v>38</v>
      </c>
      <c r="R659" t="s">
        <v>38</v>
      </c>
      <c r="S659" t="s">
        <v>42</v>
      </c>
      <c r="T659" t="s">
        <v>42</v>
      </c>
      <c r="U659" t="s">
        <v>847</v>
      </c>
      <c r="V659" t="s">
        <v>636</v>
      </c>
      <c r="W659" t="s">
        <v>847</v>
      </c>
      <c r="X659" t="s">
        <v>824</v>
      </c>
      <c r="Y659" t="s">
        <v>861</v>
      </c>
      <c r="Z659" t="s">
        <v>47</v>
      </c>
      <c r="AA659"/>
      <c r="AB659"/>
      <c r="AC659"/>
      <c r="AD659" t="s">
        <v>638</v>
      </c>
    </row>
    <row r="660" spans="1:30">
      <c r="A660">
        <v>2110060012</v>
      </c>
      <c r="B660" t="s">
        <v>30</v>
      </c>
      <c r="C660" t="s">
        <v>31</v>
      </c>
      <c r="D660" t="s">
        <v>32</v>
      </c>
      <c r="E660" t="s">
        <v>446</v>
      </c>
      <c r="F660" t="s">
        <v>166</v>
      </c>
      <c r="G660" t="s">
        <v>167</v>
      </c>
      <c r="H660" t="s">
        <v>35</v>
      </c>
      <c r="I660" t="s">
        <v>311</v>
      </c>
      <c r="J660" t="s">
        <v>312</v>
      </c>
      <c r="K660" t="str">
        <f>"DE671H1922"</f>
        <v>0</v>
      </c>
      <c r="L660">
        <v>529100</v>
      </c>
      <c r="M660"/>
      <c r="N660" t="s">
        <v>863</v>
      </c>
      <c r="O660" t="s">
        <v>38</v>
      </c>
      <c r="P660" t="s">
        <v>53</v>
      </c>
      <c r="Q660" t="s">
        <v>38</v>
      </c>
      <c r="R660" t="s">
        <v>38</v>
      </c>
      <c r="S660" t="s">
        <v>42</v>
      </c>
      <c r="T660" t="s">
        <v>42</v>
      </c>
      <c r="U660" t="s">
        <v>847</v>
      </c>
      <c r="V660" t="s">
        <v>636</v>
      </c>
      <c r="W660" t="s">
        <v>847</v>
      </c>
      <c r="X660" t="s">
        <v>824</v>
      </c>
      <c r="Y660" t="s">
        <v>861</v>
      </c>
      <c r="Z660" t="s">
        <v>47</v>
      </c>
      <c r="AA660"/>
      <c r="AB660"/>
      <c r="AC660"/>
      <c r="AD660" t="s">
        <v>638</v>
      </c>
    </row>
    <row r="661" spans="1:30">
      <c r="A661">
        <v>2110060013</v>
      </c>
      <c r="B661" t="s">
        <v>30</v>
      </c>
      <c r="C661" t="s">
        <v>31</v>
      </c>
      <c r="D661" t="s">
        <v>32</v>
      </c>
      <c r="E661" t="s">
        <v>446</v>
      </c>
      <c r="F661" t="s">
        <v>166</v>
      </c>
      <c r="G661" t="s">
        <v>167</v>
      </c>
      <c r="H661" t="s">
        <v>35</v>
      </c>
      <c r="I661" t="s">
        <v>311</v>
      </c>
      <c r="J661" t="s">
        <v>312</v>
      </c>
      <c r="K661" t="str">
        <f>"DE671H1925"</f>
        <v>0</v>
      </c>
      <c r="L661">
        <v>529100</v>
      </c>
      <c r="M661"/>
      <c r="N661" t="s">
        <v>863</v>
      </c>
      <c r="O661" t="s">
        <v>38</v>
      </c>
      <c r="P661" t="s">
        <v>53</v>
      </c>
      <c r="Q661" t="s">
        <v>38</v>
      </c>
      <c r="R661" t="s">
        <v>38</v>
      </c>
      <c r="S661" t="s">
        <v>42</v>
      </c>
      <c r="T661" t="s">
        <v>42</v>
      </c>
      <c r="U661" t="s">
        <v>847</v>
      </c>
      <c r="V661" t="s">
        <v>636</v>
      </c>
      <c r="W661" t="s">
        <v>847</v>
      </c>
      <c r="X661" t="s">
        <v>824</v>
      </c>
      <c r="Y661" t="s">
        <v>861</v>
      </c>
      <c r="Z661" t="s">
        <v>47</v>
      </c>
      <c r="AA661"/>
      <c r="AB661"/>
      <c r="AC661"/>
      <c r="AD661" t="s">
        <v>638</v>
      </c>
    </row>
    <row r="662" spans="1:30">
      <c r="A662">
        <v>2110060014</v>
      </c>
      <c r="B662" t="s">
        <v>30</v>
      </c>
      <c r="C662" t="s">
        <v>31</v>
      </c>
      <c r="D662" t="s">
        <v>32</v>
      </c>
      <c r="E662" t="s">
        <v>446</v>
      </c>
      <c r="F662" t="s">
        <v>194</v>
      </c>
      <c r="G662" t="s">
        <v>195</v>
      </c>
      <c r="H662" t="s">
        <v>50</v>
      </c>
      <c r="I662" t="s">
        <v>196</v>
      </c>
      <c r="J662" t="s">
        <v>878</v>
      </c>
      <c r="K662" t="str">
        <f>"015924"</f>
        <v>0</v>
      </c>
      <c r="L662">
        <v>51700</v>
      </c>
      <c r="M662"/>
      <c r="N662" t="s">
        <v>863</v>
      </c>
      <c r="O662" t="s">
        <v>38</v>
      </c>
      <c r="P662" t="s">
        <v>53</v>
      </c>
      <c r="Q662" t="s">
        <v>38</v>
      </c>
      <c r="R662" t="s">
        <v>38</v>
      </c>
      <c r="S662" t="s">
        <v>42</v>
      </c>
      <c r="T662" t="s">
        <v>42</v>
      </c>
      <c r="U662" t="s">
        <v>847</v>
      </c>
      <c r="V662" t="s">
        <v>636</v>
      </c>
      <c r="W662" t="s">
        <v>847</v>
      </c>
      <c r="X662" t="s">
        <v>824</v>
      </c>
      <c r="Y662" t="s">
        <v>861</v>
      </c>
      <c r="Z662" t="s">
        <v>47</v>
      </c>
      <c r="AA662"/>
      <c r="AB662"/>
      <c r="AC662"/>
      <c r="AD662" t="s">
        <v>638</v>
      </c>
    </row>
    <row r="663" spans="1:30">
      <c r="A663">
        <v>2110060015</v>
      </c>
      <c r="B663" t="s">
        <v>30</v>
      </c>
      <c r="C663" t="s">
        <v>31</v>
      </c>
      <c r="D663" t="s">
        <v>32</v>
      </c>
      <c r="E663" t="s">
        <v>446</v>
      </c>
      <c r="F663" t="s">
        <v>194</v>
      </c>
      <c r="G663" t="s">
        <v>195</v>
      </c>
      <c r="H663" t="s">
        <v>50</v>
      </c>
      <c r="I663" t="s">
        <v>196</v>
      </c>
      <c r="J663" t="s">
        <v>878</v>
      </c>
      <c r="K663" t="str">
        <f>"015915"</f>
        <v>0</v>
      </c>
      <c r="L663">
        <v>51700</v>
      </c>
      <c r="M663"/>
      <c r="N663" t="s">
        <v>863</v>
      </c>
      <c r="O663" t="s">
        <v>38</v>
      </c>
      <c r="P663" t="s">
        <v>53</v>
      </c>
      <c r="Q663" t="s">
        <v>38</v>
      </c>
      <c r="R663" t="s">
        <v>38</v>
      </c>
      <c r="S663" t="s">
        <v>42</v>
      </c>
      <c r="T663" t="s">
        <v>42</v>
      </c>
      <c r="U663" t="s">
        <v>847</v>
      </c>
      <c r="V663" t="s">
        <v>636</v>
      </c>
      <c r="W663" t="s">
        <v>847</v>
      </c>
      <c r="X663" t="s">
        <v>824</v>
      </c>
      <c r="Y663" t="s">
        <v>861</v>
      </c>
      <c r="Z663" t="s">
        <v>47</v>
      </c>
      <c r="AA663"/>
      <c r="AB663"/>
      <c r="AC663"/>
      <c r="AD663" t="s">
        <v>638</v>
      </c>
    </row>
    <row r="664" spans="1:30">
      <c r="A664">
        <v>2110060016</v>
      </c>
      <c r="B664" t="s">
        <v>30</v>
      </c>
      <c r="C664" t="s">
        <v>31</v>
      </c>
      <c r="D664" t="s">
        <v>32</v>
      </c>
      <c r="E664" t="s">
        <v>446</v>
      </c>
      <c r="F664" t="s">
        <v>194</v>
      </c>
      <c r="G664" t="s">
        <v>195</v>
      </c>
      <c r="H664" t="s">
        <v>50</v>
      </c>
      <c r="I664" t="s">
        <v>196</v>
      </c>
      <c r="J664" t="s">
        <v>878</v>
      </c>
      <c r="K664" t="str">
        <f>"015925"</f>
        <v>0</v>
      </c>
      <c r="L664">
        <v>51700</v>
      </c>
      <c r="M664"/>
      <c r="N664" t="s">
        <v>863</v>
      </c>
      <c r="O664" t="s">
        <v>38</v>
      </c>
      <c r="P664" t="s">
        <v>53</v>
      </c>
      <c r="Q664" t="s">
        <v>38</v>
      </c>
      <c r="R664" t="s">
        <v>38</v>
      </c>
      <c r="S664" t="s">
        <v>42</v>
      </c>
      <c r="T664" t="s">
        <v>42</v>
      </c>
      <c r="U664" t="s">
        <v>847</v>
      </c>
      <c r="V664" t="s">
        <v>636</v>
      </c>
      <c r="W664" t="s">
        <v>847</v>
      </c>
      <c r="X664" t="s">
        <v>824</v>
      </c>
      <c r="Y664" t="s">
        <v>861</v>
      </c>
      <c r="Z664" t="s">
        <v>47</v>
      </c>
      <c r="AA664"/>
      <c r="AB664"/>
      <c r="AC664"/>
      <c r="AD664" t="s">
        <v>638</v>
      </c>
    </row>
    <row r="665" spans="1:30">
      <c r="A665">
        <v>2110060017</v>
      </c>
      <c r="B665" t="s">
        <v>30</v>
      </c>
      <c r="C665" t="s">
        <v>31</v>
      </c>
      <c r="D665" t="s">
        <v>32</v>
      </c>
      <c r="E665" t="s">
        <v>446</v>
      </c>
      <c r="F665" t="s">
        <v>194</v>
      </c>
      <c r="G665" t="s">
        <v>195</v>
      </c>
      <c r="H665" t="s">
        <v>50</v>
      </c>
      <c r="I665" t="s">
        <v>196</v>
      </c>
      <c r="J665" t="s">
        <v>878</v>
      </c>
      <c r="K665" t="str">
        <f>"015909"</f>
        <v>0</v>
      </c>
      <c r="L665">
        <v>51700</v>
      </c>
      <c r="M665"/>
      <c r="N665" t="s">
        <v>863</v>
      </c>
      <c r="O665" t="s">
        <v>38</v>
      </c>
      <c r="P665" t="s">
        <v>53</v>
      </c>
      <c r="Q665" t="s">
        <v>38</v>
      </c>
      <c r="R665" t="s">
        <v>38</v>
      </c>
      <c r="S665" t="s">
        <v>42</v>
      </c>
      <c r="T665" t="s">
        <v>42</v>
      </c>
      <c r="U665" t="s">
        <v>847</v>
      </c>
      <c r="V665" t="s">
        <v>636</v>
      </c>
      <c r="W665" t="s">
        <v>847</v>
      </c>
      <c r="X665" t="s">
        <v>824</v>
      </c>
      <c r="Y665" t="s">
        <v>861</v>
      </c>
      <c r="Z665" t="s">
        <v>47</v>
      </c>
      <c r="AA665"/>
      <c r="AB665"/>
      <c r="AC665"/>
      <c r="AD665" t="s">
        <v>638</v>
      </c>
    </row>
    <row r="666" spans="1:30">
      <c r="A666">
        <v>2110060018</v>
      </c>
      <c r="B666" t="s">
        <v>30</v>
      </c>
      <c r="C666" t="s">
        <v>31</v>
      </c>
      <c r="D666" t="s">
        <v>32</v>
      </c>
      <c r="E666" t="s">
        <v>446</v>
      </c>
      <c r="F666" t="s">
        <v>194</v>
      </c>
      <c r="G666" t="s">
        <v>195</v>
      </c>
      <c r="H666" t="s">
        <v>50</v>
      </c>
      <c r="I666" t="s">
        <v>196</v>
      </c>
      <c r="J666" t="s">
        <v>878</v>
      </c>
      <c r="K666" t="str">
        <f>"015917"</f>
        <v>0</v>
      </c>
      <c r="L666">
        <v>51700</v>
      </c>
      <c r="M666"/>
      <c r="N666" t="s">
        <v>863</v>
      </c>
      <c r="O666" t="s">
        <v>38</v>
      </c>
      <c r="P666" t="s">
        <v>53</v>
      </c>
      <c r="Q666" t="s">
        <v>38</v>
      </c>
      <c r="R666" t="s">
        <v>38</v>
      </c>
      <c r="S666" t="s">
        <v>42</v>
      </c>
      <c r="T666" t="s">
        <v>42</v>
      </c>
      <c r="U666" t="s">
        <v>847</v>
      </c>
      <c r="V666" t="s">
        <v>636</v>
      </c>
      <c r="W666" t="s">
        <v>847</v>
      </c>
      <c r="X666" t="s">
        <v>824</v>
      </c>
      <c r="Y666" t="s">
        <v>861</v>
      </c>
      <c r="Z666" t="s">
        <v>47</v>
      </c>
      <c r="AA666"/>
      <c r="AB666"/>
      <c r="AC666"/>
      <c r="AD666" t="s">
        <v>638</v>
      </c>
    </row>
    <row r="667" spans="1:30">
      <c r="A667">
        <v>2110060019</v>
      </c>
      <c r="B667" t="s">
        <v>30</v>
      </c>
      <c r="C667" t="s">
        <v>31</v>
      </c>
      <c r="D667" t="s">
        <v>32</v>
      </c>
      <c r="E667" t="s">
        <v>446</v>
      </c>
      <c r="F667" t="s">
        <v>194</v>
      </c>
      <c r="G667" t="s">
        <v>195</v>
      </c>
      <c r="H667" t="s">
        <v>50</v>
      </c>
      <c r="I667" t="s">
        <v>196</v>
      </c>
      <c r="J667" t="s">
        <v>878</v>
      </c>
      <c r="K667" t="str">
        <f>"015926"</f>
        <v>0</v>
      </c>
      <c r="L667">
        <v>51700</v>
      </c>
      <c r="M667"/>
      <c r="N667" t="s">
        <v>863</v>
      </c>
      <c r="O667" t="s">
        <v>38</v>
      </c>
      <c r="P667" t="s">
        <v>53</v>
      </c>
      <c r="Q667" t="s">
        <v>38</v>
      </c>
      <c r="R667" t="s">
        <v>38</v>
      </c>
      <c r="S667" t="s">
        <v>42</v>
      </c>
      <c r="T667" t="s">
        <v>42</v>
      </c>
      <c r="U667" t="s">
        <v>847</v>
      </c>
      <c r="V667" t="s">
        <v>636</v>
      </c>
      <c r="W667" t="s">
        <v>847</v>
      </c>
      <c r="X667" t="s">
        <v>824</v>
      </c>
      <c r="Y667" t="s">
        <v>861</v>
      </c>
      <c r="Z667" t="s">
        <v>47</v>
      </c>
      <c r="AA667"/>
      <c r="AB667"/>
      <c r="AC667"/>
      <c r="AD667" t="s">
        <v>638</v>
      </c>
    </row>
    <row r="668" spans="1:30">
      <c r="A668">
        <v>2110060026</v>
      </c>
      <c r="B668" t="s">
        <v>30</v>
      </c>
      <c r="C668" t="s">
        <v>31</v>
      </c>
      <c r="D668" t="s">
        <v>32</v>
      </c>
      <c r="E668" t="s">
        <v>446</v>
      </c>
      <c r="F668" t="s">
        <v>387</v>
      </c>
      <c r="G668" t="s">
        <v>387</v>
      </c>
      <c r="H668" t="s">
        <v>35</v>
      </c>
      <c r="I668" t="s">
        <v>549</v>
      </c>
      <c r="J668" t="s">
        <v>879</v>
      </c>
      <c r="K668" t="str">
        <f>"19706"</f>
        <v>0</v>
      </c>
      <c r="L668">
        <v>1430000</v>
      </c>
      <c r="M668"/>
      <c r="N668" t="s">
        <v>863</v>
      </c>
      <c r="O668" t="s">
        <v>38</v>
      </c>
      <c r="P668" t="s">
        <v>53</v>
      </c>
      <c r="Q668" t="s">
        <v>38</v>
      </c>
      <c r="R668" t="s">
        <v>38</v>
      </c>
      <c r="S668" t="s">
        <v>42</v>
      </c>
      <c r="T668" t="s">
        <v>42</v>
      </c>
      <c r="U668" t="s">
        <v>847</v>
      </c>
      <c r="V668" t="s">
        <v>636</v>
      </c>
      <c r="W668" t="s">
        <v>847</v>
      </c>
      <c r="X668" t="s">
        <v>824</v>
      </c>
      <c r="Y668" t="s">
        <v>861</v>
      </c>
      <c r="Z668" t="s">
        <v>47</v>
      </c>
      <c r="AA668"/>
      <c r="AB668"/>
      <c r="AC668"/>
      <c r="AD668" t="s">
        <v>638</v>
      </c>
    </row>
    <row r="669" spans="1:30">
      <c r="A669">
        <v>2110060027</v>
      </c>
      <c r="B669" t="s">
        <v>30</v>
      </c>
      <c r="C669" t="s">
        <v>31</v>
      </c>
      <c r="D669" t="s">
        <v>32</v>
      </c>
      <c r="E669" t="s">
        <v>446</v>
      </c>
      <c r="F669" t="s">
        <v>147</v>
      </c>
      <c r="G669" t="s">
        <v>148</v>
      </c>
      <c r="H669" t="s">
        <v>35</v>
      </c>
      <c r="I669" t="s">
        <v>149</v>
      </c>
      <c r="J669" t="s">
        <v>880</v>
      </c>
      <c r="K669" t="str">
        <f>"V301A1911030"</f>
        <v>0</v>
      </c>
      <c r="L669">
        <v>47952</v>
      </c>
      <c r="M669"/>
      <c r="N669" t="s">
        <v>863</v>
      </c>
      <c r="O669" t="s">
        <v>38</v>
      </c>
      <c r="P669" t="s">
        <v>53</v>
      </c>
      <c r="Q669" t="s">
        <v>38</v>
      </c>
      <c r="R669" t="s">
        <v>38</v>
      </c>
      <c r="S669" t="s">
        <v>42</v>
      </c>
      <c r="T669" t="s">
        <v>42</v>
      </c>
      <c r="U669" t="s">
        <v>847</v>
      </c>
      <c r="V669" t="s">
        <v>636</v>
      </c>
      <c r="W669" t="s">
        <v>847</v>
      </c>
      <c r="X669" t="s">
        <v>824</v>
      </c>
      <c r="Y669" t="s">
        <v>861</v>
      </c>
      <c r="Z669" t="s">
        <v>47</v>
      </c>
      <c r="AA669"/>
      <c r="AB669"/>
      <c r="AC669"/>
      <c r="AD669" t="s">
        <v>638</v>
      </c>
    </row>
    <row r="670" spans="1:30">
      <c r="A670">
        <v>2110060028</v>
      </c>
      <c r="B670" t="s">
        <v>30</v>
      </c>
      <c r="C670" t="s">
        <v>31</v>
      </c>
      <c r="D670" t="s">
        <v>32</v>
      </c>
      <c r="E670" t="s">
        <v>446</v>
      </c>
      <c r="F670" t="s">
        <v>166</v>
      </c>
      <c r="G670" t="s">
        <v>167</v>
      </c>
      <c r="H670" t="s">
        <v>35</v>
      </c>
      <c r="I670" t="s">
        <v>311</v>
      </c>
      <c r="J670" t="s">
        <v>487</v>
      </c>
      <c r="K670" t="str">
        <f>"DE7580A176"</f>
        <v>0</v>
      </c>
      <c r="L670">
        <v>529100</v>
      </c>
      <c r="M670"/>
      <c r="N670" t="s">
        <v>863</v>
      </c>
      <c r="O670" t="s">
        <v>38</v>
      </c>
      <c r="P670" t="s">
        <v>53</v>
      </c>
      <c r="Q670" t="s">
        <v>38</v>
      </c>
      <c r="R670" t="s">
        <v>38</v>
      </c>
      <c r="S670" t="s">
        <v>42</v>
      </c>
      <c r="T670" t="s">
        <v>42</v>
      </c>
      <c r="U670" t="s">
        <v>847</v>
      </c>
      <c r="V670" t="s">
        <v>636</v>
      </c>
      <c r="W670" t="s">
        <v>847</v>
      </c>
      <c r="X670" t="s">
        <v>824</v>
      </c>
      <c r="Y670" t="s">
        <v>861</v>
      </c>
      <c r="Z670" t="s">
        <v>47</v>
      </c>
      <c r="AA670"/>
      <c r="AB670"/>
      <c r="AC670"/>
      <c r="AD670" t="s">
        <v>638</v>
      </c>
    </row>
    <row r="671" spans="1:30">
      <c r="A671">
        <v>2110060029</v>
      </c>
      <c r="B671" t="s">
        <v>30</v>
      </c>
      <c r="C671" t="s">
        <v>31</v>
      </c>
      <c r="D671" t="s">
        <v>32</v>
      </c>
      <c r="E671" t="s">
        <v>881</v>
      </c>
      <c r="F671" t="s">
        <v>166</v>
      </c>
      <c r="G671" t="s">
        <v>167</v>
      </c>
      <c r="H671" t="s">
        <v>35</v>
      </c>
      <c r="I671" t="s">
        <v>311</v>
      </c>
      <c r="J671" t="s">
        <v>487</v>
      </c>
      <c r="K671" t="str">
        <f>"DE7580A151"</f>
        <v>0</v>
      </c>
      <c r="L671">
        <v>529100</v>
      </c>
      <c r="M671"/>
      <c r="N671" t="s">
        <v>863</v>
      </c>
      <c r="O671" t="s">
        <v>38</v>
      </c>
      <c r="P671" t="s">
        <v>53</v>
      </c>
      <c r="Q671" t="s">
        <v>38</v>
      </c>
      <c r="R671" t="s">
        <v>38</v>
      </c>
      <c r="S671" t="s">
        <v>42</v>
      </c>
      <c r="T671" t="s">
        <v>42</v>
      </c>
      <c r="U671" t="s">
        <v>847</v>
      </c>
      <c r="V671" t="s">
        <v>636</v>
      </c>
      <c r="W671" t="s">
        <v>847</v>
      </c>
      <c r="X671" t="s">
        <v>824</v>
      </c>
      <c r="Y671" t="s">
        <v>861</v>
      </c>
      <c r="Z671" t="s">
        <v>47</v>
      </c>
      <c r="AA671"/>
      <c r="AB671"/>
      <c r="AC671"/>
      <c r="AD671" t="s">
        <v>638</v>
      </c>
    </row>
    <row r="672" spans="1:30">
      <c r="A672">
        <v>2110060030</v>
      </c>
      <c r="B672" t="s">
        <v>30</v>
      </c>
      <c r="C672" t="s">
        <v>31</v>
      </c>
      <c r="D672" t="s">
        <v>32</v>
      </c>
      <c r="E672" t="s">
        <v>881</v>
      </c>
      <c r="F672" t="s">
        <v>166</v>
      </c>
      <c r="G672" t="s">
        <v>167</v>
      </c>
      <c r="H672" t="s">
        <v>35</v>
      </c>
      <c r="I672" t="s">
        <v>311</v>
      </c>
      <c r="J672" t="s">
        <v>487</v>
      </c>
      <c r="K672" t="str">
        <f>"DE7580A164"</f>
        <v>0</v>
      </c>
      <c r="L672">
        <v>529100</v>
      </c>
      <c r="M672"/>
      <c r="N672" t="s">
        <v>863</v>
      </c>
      <c r="O672" t="s">
        <v>38</v>
      </c>
      <c r="P672" t="s">
        <v>53</v>
      </c>
      <c r="Q672" t="s">
        <v>38</v>
      </c>
      <c r="R672" t="s">
        <v>38</v>
      </c>
      <c r="S672" t="s">
        <v>42</v>
      </c>
      <c r="T672" t="s">
        <v>42</v>
      </c>
      <c r="U672" t="s">
        <v>847</v>
      </c>
      <c r="V672" t="s">
        <v>636</v>
      </c>
      <c r="W672" t="s">
        <v>847</v>
      </c>
      <c r="X672" t="s">
        <v>824</v>
      </c>
      <c r="Y672" t="s">
        <v>861</v>
      </c>
      <c r="Z672" t="s">
        <v>47</v>
      </c>
      <c r="AA672"/>
      <c r="AB672"/>
      <c r="AC672"/>
      <c r="AD672" t="s">
        <v>638</v>
      </c>
    </row>
    <row r="673" spans="1:30">
      <c r="A673">
        <v>2110060031</v>
      </c>
      <c r="B673" t="s">
        <v>30</v>
      </c>
      <c r="C673" t="s">
        <v>31</v>
      </c>
      <c r="D673" t="s">
        <v>32</v>
      </c>
      <c r="E673" t="s">
        <v>881</v>
      </c>
      <c r="F673" t="s">
        <v>166</v>
      </c>
      <c r="G673" t="s">
        <v>167</v>
      </c>
      <c r="H673" t="s">
        <v>35</v>
      </c>
      <c r="I673" t="s">
        <v>311</v>
      </c>
      <c r="J673" t="s">
        <v>487</v>
      </c>
      <c r="K673" t="str">
        <f>"DE7580A16R"</f>
        <v>0</v>
      </c>
      <c r="L673">
        <v>529100</v>
      </c>
      <c r="M673"/>
      <c r="N673" t="s">
        <v>863</v>
      </c>
      <c r="O673" t="s">
        <v>38</v>
      </c>
      <c r="P673" t="s">
        <v>53</v>
      </c>
      <c r="Q673" t="s">
        <v>38</v>
      </c>
      <c r="R673" t="s">
        <v>38</v>
      </c>
      <c r="S673" t="s">
        <v>42</v>
      </c>
      <c r="T673" t="s">
        <v>42</v>
      </c>
      <c r="U673" t="s">
        <v>847</v>
      </c>
      <c r="V673" t="s">
        <v>636</v>
      </c>
      <c r="W673" t="s">
        <v>847</v>
      </c>
      <c r="X673" t="s">
        <v>824</v>
      </c>
      <c r="Y673" t="s">
        <v>861</v>
      </c>
      <c r="Z673" t="s">
        <v>47</v>
      </c>
      <c r="AA673"/>
      <c r="AB673"/>
      <c r="AC673"/>
      <c r="AD673" t="s">
        <v>638</v>
      </c>
    </row>
    <row r="674" spans="1:30">
      <c r="A674">
        <v>2110060032</v>
      </c>
      <c r="B674" t="s">
        <v>30</v>
      </c>
      <c r="C674" t="s">
        <v>31</v>
      </c>
      <c r="D674" t="s">
        <v>32</v>
      </c>
      <c r="E674" t="s">
        <v>881</v>
      </c>
      <c r="F674" t="s">
        <v>166</v>
      </c>
      <c r="G674" t="s">
        <v>167</v>
      </c>
      <c r="H674" t="s">
        <v>35</v>
      </c>
      <c r="I674" t="s">
        <v>311</v>
      </c>
      <c r="J674" t="s">
        <v>487</v>
      </c>
      <c r="K674" t="str">
        <f>"DE7580A1C1"</f>
        <v>0</v>
      </c>
      <c r="L674">
        <v>529100</v>
      </c>
      <c r="M674"/>
      <c r="N674" t="s">
        <v>863</v>
      </c>
      <c r="O674" t="s">
        <v>38</v>
      </c>
      <c r="P674" t="s">
        <v>53</v>
      </c>
      <c r="Q674" t="s">
        <v>38</v>
      </c>
      <c r="R674" t="s">
        <v>38</v>
      </c>
      <c r="S674" t="s">
        <v>42</v>
      </c>
      <c r="T674" t="s">
        <v>42</v>
      </c>
      <c r="U674" t="s">
        <v>847</v>
      </c>
      <c r="V674" t="s">
        <v>636</v>
      </c>
      <c r="W674" t="s">
        <v>847</v>
      </c>
      <c r="X674" t="s">
        <v>824</v>
      </c>
      <c r="Y674" t="s">
        <v>861</v>
      </c>
      <c r="Z674" t="s">
        <v>47</v>
      </c>
      <c r="AA674"/>
      <c r="AB674"/>
      <c r="AC674"/>
      <c r="AD674" t="s">
        <v>638</v>
      </c>
    </row>
    <row r="675" spans="1:30">
      <c r="A675">
        <v>2110060033</v>
      </c>
      <c r="B675" t="s">
        <v>30</v>
      </c>
      <c r="C675" t="s">
        <v>31</v>
      </c>
      <c r="D675" t="s">
        <v>32</v>
      </c>
      <c r="E675" t="s">
        <v>881</v>
      </c>
      <c r="F675" t="s">
        <v>147</v>
      </c>
      <c r="G675" t="s">
        <v>148</v>
      </c>
      <c r="H675" t="s">
        <v>35</v>
      </c>
      <c r="I675" t="s">
        <v>311</v>
      </c>
      <c r="J675" t="s">
        <v>882</v>
      </c>
      <c r="K675" t="str">
        <f>"CN12222203"</f>
        <v>0</v>
      </c>
      <c r="L675">
        <v>350000</v>
      </c>
      <c r="M675"/>
      <c r="N675" t="s">
        <v>863</v>
      </c>
      <c r="O675" t="s">
        <v>38</v>
      </c>
      <c r="P675" t="s">
        <v>53</v>
      </c>
      <c r="Q675" t="s">
        <v>38</v>
      </c>
      <c r="R675" t="s">
        <v>38</v>
      </c>
      <c r="S675" t="s">
        <v>42</v>
      </c>
      <c r="T675" t="s">
        <v>42</v>
      </c>
      <c r="U675" t="s">
        <v>847</v>
      </c>
      <c r="V675" t="s">
        <v>636</v>
      </c>
      <c r="W675" t="s">
        <v>847</v>
      </c>
      <c r="X675" t="s">
        <v>824</v>
      </c>
      <c r="Y675" t="s">
        <v>861</v>
      </c>
      <c r="Z675" t="s">
        <v>47</v>
      </c>
      <c r="AA675"/>
      <c r="AB675"/>
      <c r="AC675"/>
      <c r="AD675" t="s">
        <v>638</v>
      </c>
    </row>
    <row r="676" spans="1:30">
      <c r="A676">
        <v>2110060066</v>
      </c>
      <c r="B676" t="s">
        <v>30</v>
      </c>
      <c r="C676" t="s">
        <v>31</v>
      </c>
      <c r="D676" t="s">
        <v>32</v>
      </c>
      <c r="E676" t="s">
        <v>48</v>
      </c>
      <c r="F676" t="s">
        <v>48</v>
      </c>
      <c r="G676" t="s">
        <v>858</v>
      </c>
      <c r="H676" t="s">
        <v>35</v>
      </c>
      <c r="I676" t="s">
        <v>621</v>
      </c>
      <c r="J676" t="s">
        <v>883</v>
      </c>
      <c r="K676" t="str">
        <f>"640033"</f>
        <v>0</v>
      </c>
      <c r="L676">
        <v>1485000</v>
      </c>
      <c r="M676"/>
      <c r="N676" t="s">
        <v>884</v>
      </c>
      <c r="O676" t="s">
        <v>38</v>
      </c>
      <c r="P676" t="s">
        <v>53</v>
      </c>
      <c r="Q676" t="s">
        <v>38</v>
      </c>
      <c r="R676" t="s">
        <v>38</v>
      </c>
      <c r="S676" t="s">
        <v>266</v>
      </c>
      <c r="T676" t="s">
        <v>266</v>
      </c>
      <c r="U676" t="s">
        <v>847</v>
      </c>
      <c r="V676" t="s">
        <v>636</v>
      </c>
      <c r="W676" t="s">
        <v>847</v>
      </c>
      <c r="X676" t="s">
        <v>824</v>
      </c>
      <c r="Y676" t="s">
        <v>885</v>
      </c>
      <c r="Z676" t="s">
        <v>70</v>
      </c>
      <c r="AA676"/>
      <c r="AB676"/>
      <c r="AC676"/>
      <c r="AD676" t="s">
        <v>808</v>
      </c>
    </row>
    <row r="677" spans="1:30">
      <c r="A677">
        <v>2110060067</v>
      </c>
      <c r="B677" t="s">
        <v>30</v>
      </c>
      <c r="C677" t="s">
        <v>31</v>
      </c>
      <c r="D677" t="s">
        <v>32</v>
      </c>
      <c r="E677" t="s">
        <v>48</v>
      </c>
      <c r="F677" t="s">
        <v>48</v>
      </c>
      <c r="G677" t="s">
        <v>886</v>
      </c>
      <c r="H677" t="s">
        <v>50</v>
      </c>
      <c r="I677" t="s">
        <v>887</v>
      </c>
      <c r="J677" t="s">
        <v>888</v>
      </c>
      <c r="K677" t="str">
        <f>"STP1537"</f>
        <v>0</v>
      </c>
      <c r="L677">
        <v>216000</v>
      </c>
      <c r="M677"/>
      <c r="N677" t="s">
        <v>889</v>
      </c>
      <c r="O677" t="s">
        <v>38</v>
      </c>
      <c r="P677" t="s">
        <v>53</v>
      </c>
      <c r="Q677" t="s">
        <v>38</v>
      </c>
      <c r="R677" t="s">
        <v>38</v>
      </c>
      <c r="S677" t="s">
        <v>42</v>
      </c>
      <c r="T677" t="s">
        <v>42</v>
      </c>
      <c r="U677" t="s">
        <v>847</v>
      </c>
      <c r="V677" t="s">
        <v>636</v>
      </c>
      <c r="W677" t="s">
        <v>847</v>
      </c>
      <c r="X677" t="s">
        <v>824</v>
      </c>
      <c r="Y677" t="s">
        <v>885</v>
      </c>
      <c r="Z677" t="s">
        <v>47</v>
      </c>
      <c r="AA677"/>
      <c r="AB677"/>
      <c r="AC677"/>
      <c r="AD677" t="s">
        <v>638</v>
      </c>
    </row>
    <row r="678" spans="1:30">
      <c r="A678">
        <v>2110060069</v>
      </c>
      <c r="B678" t="s">
        <v>30</v>
      </c>
      <c r="C678" t="s">
        <v>31</v>
      </c>
      <c r="D678" t="s">
        <v>32</v>
      </c>
      <c r="E678" t="s">
        <v>48</v>
      </c>
      <c r="F678" t="s">
        <v>48</v>
      </c>
      <c r="G678" t="s">
        <v>203</v>
      </c>
      <c r="H678" t="s">
        <v>50</v>
      </c>
      <c r="I678" t="s">
        <v>100</v>
      </c>
      <c r="J678" t="s">
        <v>315</v>
      </c>
      <c r="K678" t="str">
        <f>"NA"</f>
        <v>0</v>
      </c>
      <c r="L678">
        <v>20000</v>
      </c>
      <c r="M678"/>
      <c r="N678" t="s">
        <v>889</v>
      </c>
      <c r="O678" t="s">
        <v>38</v>
      </c>
      <c r="P678" t="s">
        <v>53</v>
      </c>
      <c r="Q678" t="s">
        <v>38</v>
      </c>
      <c r="R678" t="s">
        <v>38</v>
      </c>
      <c r="S678" t="s">
        <v>42</v>
      </c>
      <c r="T678" t="s">
        <v>42</v>
      </c>
      <c r="U678" t="s">
        <v>847</v>
      </c>
      <c r="V678" t="s">
        <v>636</v>
      </c>
      <c r="W678" t="s">
        <v>847</v>
      </c>
      <c r="X678" t="s">
        <v>824</v>
      </c>
      <c r="Y678" t="s">
        <v>885</v>
      </c>
      <c r="Z678" t="s">
        <v>47</v>
      </c>
      <c r="AA678"/>
      <c r="AB678"/>
      <c r="AC678"/>
      <c r="AD678" t="s">
        <v>638</v>
      </c>
    </row>
    <row r="679" spans="1:30">
      <c r="A679">
        <v>2110060070</v>
      </c>
      <c r="B679" t="s">
        <v>30</v>
      </c>
      <c r="C679" t="s">
        <v>31</v>
      </c>
      <c r="D679" t="s">
        <v>32</v>
      </c>
      <c r="E679" t="s">
        <v>48</v>
      </c>
      <c r="F679" t="s">
        <v>48</v>
      </c>
      <c r="G679" t="s">
        <v>712</v>
      </c>
      <c r="H679" t="s">
        <v>50</v>
      </c>
      <c r="I679" t="s">
        <v>890</v>
      </c>
      <c r="J679" t="s">
        <v>315</v>
      </c>
      <c r="K679" t="str">
        <f>"NA"</f>
        <v>0</v>
      </c>
      <c r="L679">
        <v>61065</v>
      </c>
      <c r="M679"/>
      <c r="N679" t="s">
        <v>891</v>
      </c>
      <c r="O679" t="s">
        <v>38</v>
      </c>
      <c r="P679" t="s">
        <v>53</v>
      </c>
      <c r="Q679" t="s">
        <v>38</v>
      </c>
      <c r="R679" t="s">
        <v>38</v>
      </c>
      <c r="S679" t="s">
        <v>42</v>
      </c>
      <c r="T679" t="s">
        <v>42</v>
      </c>
      <c r="U679" t="s">
        <v>847</v>
      </c>
      <c r="V679" t="s">
        <v>636</v>
      </c>
      <c r="W679" t="s">
        <v>847</v>
      </c>
      <c r="X679" t="s">
        <v>824</v>
      </c>
      <c r="Y679" t="s">
        <v>885</v>
      </c>
      <c r="Z679" t="s">
        <v>47</v>
      </c>
      <c r="AA679"/>
      <c r="AB679"/>
      <c r="AC679"/>
      <c r="AD679" t="s">
        <v>638</v>
      </c>
    </row>
    <row r="680" spans="1:30">
      <c r="A680">
        <v>2110060117</v>
      </c>
      <c r="B680" t="s">
        <v>30</v>
      </c>
      <c r="C680" t="s">
        <v>31</v>
      </c>
      <c r="D680" t="s">
        <v>32</v>
      </c>
      <c r="E680" t="s">
        <v>118</v>
      </c>
      <c r="F680" t="s">
        <v>48</v>
      </c>
      <c r="G680" t="s">
        <v>294</v>
      </c>
      <c r="H680" t="s">
        <v>50</v>
      </c>
      <c r="I680" t="s">
        <v>892</v>
      </c>
      <c r="J680" t="s">
        <v>893</v>
      </c>
      <c r="K680" t="str">
        <f>"201701955"</f>
        <v>0</v>
      </c>
      <c r="L680">
        <v>15000</v>
      </c>
      <c r="M680"/>
      <c r="N680" t="s">
        <v>894</v>
      </c>
      <c r="O680" t="s">
        <v>38</v>
      </c>
      <c r="P680" t="s">
        <v>53</v>
      </c>
      <c r="Q680" t="s">
        <v>38</v>
      </c>
      <c r="R680" t="s">
        <v>38</v>
      </c>
      <c r="S680" t="s">
        <v>42</v>
      </c>
      <c r="T680" t="s">
        <v>42</v>
      </c>
      <c r="U680" t="s">
        <v>847</v>
      </c>
      <c r="V680" t="s">
        <v>636</v>
      </c>
      <c r="W680" t="s">
        <v>847</v>
      </c>
      <c r="X680" t="s">
        <v>824</v>
      </c>
      <c r="Y680" t="s">
        <v>895</v>
      </c>
      <c r="Z680" t="s">
        <v>47</v>
      </c>
      <c r="AA680"/>
      <c r="AB680"/>
      <c r="AC680"/>
      <c r="AD680" t="s">
        <v>638</v>
      </c>
    </row>
    <row r="681" spans="1:30">
      <c r="A681">
        <v>2110060118</v>
      </c>
      <c r="B681" t="s">
        <v>30</v>
      </c>
      <c r="C681" t="s">
        <v>31</v>
      </c>
      <c r="D681" t="s">
        <v>32</v>
      </c>
      <c r="E681" t="s">
        <v>118</v>
      </c>
      <c r="F681" t="s">
        <v>48</v>
      </c>
      <c r="G681" t="s">
        <v>657</v>
      </c>
      <c r="H681" t="s">
        <v>35</v>
      </c>
      <c r="I681" t="s">
        <v>258</v>
      </c>
      <c r="J681" t="s">
        <v>315</v>
      </c>
      <c r="K681" t="str">
        <f>"NA"</f>
        <v>0</v>
      </c>
      <c r="L681">
        <v>290000</v>
      </c>
      <c r="M681"/>
      <c r="N681" t="s">
        <v>896</v>
      </c>
      <c r="O681" t="s">
        <v>38</v>
      </c>
      <c r="P681" t="s">
        <v>53</v>
      </c>
      <c r="Q681" t="s">
        <v>38</v>
      </c>
      <c r="R681" t="s">
        <v>38</v>
      </c>
      <c r="S681" t="s">
        <v>42</v>
      </c>
      <c r="T681" t="s">
        <v>42</v>
      </c>
      <c r="U681" t="s">
        <v>847</v>
      </c>
      <c r="V681" t="s">
        <v>636</v>
      </c>
      <c r="W681" t="s">
        <v>847</v>
      </c>
      <c r="X681" t="s">
        <v>824</v>
      </c>
      <c r="Y681" t="s">
        <v>895</v>
      </c>
      <c r="Z681" t="s">
        <v>47</v>
      </c>
      <c r="AA681"/>
      <c r="AB681"/>
      <c r="AC681"/>
      <c r="AD681" t="s">
        <v>638</v>
      </c>
    </row>
    <row r="682" spans="1:30">
      <c r="A682">
        <v>2110060119</v>
      </c>
      <c r="B682" t="s">
        <v>30</v>
      </c>
      <c r="C682" t="s">
        <v>31</v>
      </c>
      <c r="D682" t="s">
        <v>32</v>
      </c>
      <c r="E682" t="s">
        <v>118</v>
      </c>
      <c r="F682" t="s">
        <v>48</v>
      </c>
      <c r="G682" t="s">
        <v>274</v>
      </c>
      <c r="H682" t="s">
        <v>50</v>
      </c>
      <c r="I682" t="s">
        <v>173</v>
      </c>
      <c r="J682" t="s">
        <v>315</v>
      </c>
      <c r="K682" t="str">
        <f>"NA"</f>
        <v>0</v>
      </c>
      <c r="L682">
        <v>102000</v>
      </c>
      <c r="M682"/>
      <c r="N682" t="s">
        <v>896</v>
      </c>
      <c r="O682" t="s">
        <v>38</v>
      </c>
      <c r="P682" t="s">
        <v>53</v>
      </c>
      <c r="Q682" t="s">
        <v>38</v>
      </c>
      <c r="R682" t="s">
        <v>38</v>
      </c>
      <c r="S682" t="s">
        <v>42</v>
      </c>
      <c r="T682" t="s">
        <v>42</v>
      </c>
      <c r="U682" t="s">
        <v>847</v>
      </c>
      <c r="V682" t="s">
        <v>636</v>
      </c>
      <c r="W682" t="s">
        <v>847</v>
      </c>
      <c r="X682" t="s">
        <v>824</v>
      </c>
      <c r="Y682" t="s">
        <v>895</v>
      </c>
      <c r="Z682" t="s">
        <v>47</v>
      </c>
      <c r="AA682"/>
      <c r="AB682"/>
      <c r="AC682"/>
      <c r="AD682" t="s">
        <v>638</v>
      </c>
    </row>
    <row r="683" spans="1:30">
      <c r="A683">
        <v>2110060120</v>
      </c>
      <c r="B683" t="s">
        <v>30</v>
      </c>
      <c r="C683" t="s">
        <v>31</v>
      </c>
      <c r="D683" t="s">
        <v>32</v>
      </c>
      <c r="E683" t="s">
        <v>118</v>
      </c>
      <c r="F683" t="s">
        <v>48</v>
      </c>
      <c r="G683" t="s">
        <v>570</v>
      </c>
      <c r="H683" t="s">
        <v>50</v>
      </c>
      <c r="I683" t="s">
        <v>375</v>
      </c>
      <c r="J683" t="s">
        <v>315</v>
      </c>
      <c r="K683" t="str">
        <f>"Na"</f>
        <v>0</v>
      </c>
      <c r="L683">
        <v>25000</v>
      </c>
      <c r="M683"/>
      <c r="N683" t="s">
        <v>897</v>
      </c>
      <c r="O683" t="s">
        <v>38</v>
      </c>
      <c r="P683" t="s">
        <v>53</v>
      </c>
      <c r="Q683" t="s">
        <v>38</v>
      </c>
      <c r="R683" t="s">
        <v>38</v>
      </c>
      <c r="S683" t="s">
        <v>42</v>
      </c>
      <c r="T683" t="s">
        <v>42</v>
      </c>
      <c r="U683" t="s">
        <v>847</v>
      </c>
      <c r="V683" t="s">
        <v>636</v>
      </c>
      <c r="W683" t="s">
        <v>847</v>
      </c>
      <c r="X683" t="s">
        <v>824</v>
      </c>
      <c r="Y683" t="s">
        <v>895</v>
      </c>
      <c r="Z683" t="s">
        <v>47</v>
      </c>
      <c r="AA683"/>
      <c r="AB683"/>
      <c r="AC683"/>
      <c r="AD683" t="s">
        <v>445</v>
      </c>
    </row>
    <row r="684" spans="1:30">
      <c r="A684">
        <v>2110060122</v>
      </c>
      <c r="B684" t="s">
        <v>30</v>
      </c>
      <c r="C684" t="s">
        <v>31</v>
      </c>
      <c r="D684" t="s">
        <v>32</v>
      </c>
      <c r="E684" t="s">
        <v>72</v>
      </c>
      <c r="F684" t="s">
        <v>147</v>
      </c>
      <c r="G684" t="s">
        <v>148</v>
      </c>
      <c r="H684" t="s">
        <v>35</v>
      </c>
      <c r="I684" t="s">
        <v>149</v>
      </c>
      <c r="J684" t="s">
        <v>265</v>
      </c>
      <c r="K684" t="str">
        <f>"V301A1911041"</f>
        <v>0</v>
      </c>
      <c r="L684">
        <v>47952</v>
      </c>
      <c r="M684"/>
      <c r="N684" t="s">
        <v>898</v>
      </c>
      <c r="O684" t="s">
        <v>38</v>
      </c>
      <c r="P684" t="s">
        <v>53</v>
      </c>
      <c r="Q684" t="s">
        <v>38</v>
      </c>
      <c r="R684" t="s">
        <v>38</v>
      </c>
      <c r="S684" t="s">
        <v>42</v>
      </c>
      <c r="T684" t="s">
        <v>42</v>
      </c>
      <c r="U684" t="s">
        <v>847</v>
      </c>
      <c r="V684" t="s">
        <v>636</v>
      </c>
      <c r="W684" t="s">
        <v>847</v>
      </c>
      <c r="X684" t="s">
        <v>824</v>
      </c>
      <c r="Y684" t="s">
        <v>895</v>
      </c>
      <c r="Z684" t="s">
        <v>47</v>
      </c>
      <c r="AA684"/>
      <c r="AB684"/>
      <c r="AC684"/>
      <c r="AD684" t="s">
        <v>899</v>
      </c>
    </row>
    <row r="685" spans="1:30">
      <c r="A685">
        <v>2110060123</v>
      </c>
      <c r="B685" t="s">
        <v>30</v>
      </c>
      <c r="C685" t="s">
        <v>31</v>
      </c>
      <c r="D685" t="s">
        <v>32</v>
      </c>
      <c r="E685" t="s">
        <v>72</v>
      </c>
      <c r="F685" t="s">
        <v>166</v>
      </c>
      <c r="G685" t="s">
        <v>167</v>
      </c>
      <c r="H685" t="s">
        <v>35</v>
      </c>
      <c r="I685" t="s">
        <v>168</v>
      </c>
      <c r="J685" t="s">
        <v>900</v>
      </c>
      <c r="K685" t="str">
        <f>"L19170925059"</f>
        <v>0</v>
      </c>
      <c r="L685">
        <v>65000</v>
      </c>
      <c r="M685"/>
      <c r="N685" t="s">
        <v>901</v>
      </c>
      <c r="O685" t="s">
        <v>38</v>
      </c>
      <c r="P685" t="s">
        <v>53</v>
      </c>
      <c r="Q685" t="s">
        <v>38</v>
      </c>
      <c r="R685" t="s">
        <v>38</v>
      </c>
      <c r="S685" t="s">
        <v>42</v>
      </c>
      <c r="T685" t="s">
        <v>42</v>
      </c>
      <c r="U685" t="s">
        <v>847</v>
      </c>
      <c r="V685" t="s">
        <v>636</v>
      </c>
      <c r="W685" t="s">
        <v>847</v>
      </c>
      <c r="X685" t="s">
        <v>824</v>
      </c>
      <c r="Y685" t="s">
        <v>895</v>
      </c>
      <c r="Z685" t="s">
        <v>47</v>
      </c>
      <c r="AA685"/>
      <c r="AB685"/>
      <c r="AC685"/>
      <c r="AD685" t="s">
        <v>899</v>
      </c>
    </row>
    <row r="686" spans="1:30">
      <c r="A686">
        <v>2110060125</v>
      </c>
      <c r="B686" t="s">
        <v>30</v>
      </c>
      <c r="C686" t="s">
        <v>31</v>
      </c>
      <c r="D686" t="s">
        <v>32</v>
      </c>
      <c r="E686" t="s">
        <v>72</v>
      </c>
      <c r="F686" t="s">
        <v>64</v>
      </c>
      <c r="G686" t="s">
        <v>99</v>
      </c>
      <c r="H686" t="s">
        <v>50</v>
      </c>
      <c r="I686" t="s">
        <v>408</v>
      </c>
      <c r="J686" t="s">
        <v>770</v>
      </c>
      <c r="K686" t="str">
        <f>"MZJ10D48321"</f>
        <v>0</v>
      </c>
      <c r="L686">
        <v>86400</v>
      </c>
      <c r="M686"/>
      <c r="N686" t="s">
        <v>902</v>
      </c>
      <c r="O686" t="s">
        <v>38</v>
      </c>
      <c r="P686" t="s">
        <v>53</v>
      </c>
      <c r="Q686" t="s">
        <v>38</v>
      </c>
      <c r="R686" t="s">
        <v>38</v>
      </c>
      <c r="S686" t="s">
        <v>42</v>
      </c>
      <c r="T686" t="s">
        <v>42</v>
      </c>
      <c r="U686" t="s">
        <v>847</v>
      </c>
      <c r="V686" t="s">
        <v>636</v>
      </c>
      <c r="W686" t="s">
        <v>847</v>
      </c>
      <c r="X686" t="s">
        <v>824</v>
      </c>
      <c r="Y686" t="s">
        <v>895</v>
      </c>
      <c r="Z686" t="s">
        <v>47</v>
      </c>
      <c r="AA686"/>
      <c r="AB686"/>
      <c r="AC686"/>
      <c r="AD686" t="s">
        <v>899</v>
      </c>
    </row>
    <row r="687" spans="1:30">
      <c r="A687">
        <v>2110060127</v>
      </c>
      <c r="B687" t="s">
        <v>30</v>
      </c>
      <c r="C687" t="s">
        <v>31</v>
      </c>
      <c r="D687" t="s">
        <v>32</v>
      </c>
      <c r="E687" t="s">
        <v>72</v>
      </c>
      <c r="F687" t="s">
        <v>166</v>
      </c>
      <c r="G687" t="s">
        <v>167</v>
      </c>
      <c r="H687" t="s">
        <v>35</v>
      </c>
      <c r="I687" t="s">
        <v>311</v>
      </c>
      <c r="J687" t="s">
        <v>312</v>
      </c>
      <c r="K687" t="str">
        <f>"DE7580A17E"</f>
        <v>0</v>
      </c>
      <c r="L687">
        <v>529100</v>
      </c>
      <c r="M687"/>
      <c r="N687" t="s">
        <v>865</v>
      </c>
      <c r="O687" t="s">
        <v>38</v>
      </c>
      <c r="P687" t="s">
        <v>53</v>
      </c>
      <c r="Q687" t="s">
        <v>38</v>
      </c>
      <c r="R687" t="s">
        <v>38</v>
      </c>
      <c r="S687" t="s">
        <v>42</v>
      </c>
      <c r="T687" t="s">
        <v>42</v>
      </c>
      <c r="U687" t="s">
        <v>847</v>
      </c>
      <c r="V687" t="s">
        <v>636</v>
      </c>
      <c r="W687" t="s">
        <v>847</v>
      </c>
      <c r="X687" t="s">
        <v>824</v>
      </c>
      <c r="Y687" t="s">
        <v>895</v>
      </c>
      <c r="Z687" t="s">
        <v>47</v>
      </c>
      <c r="AA687"/>
      <c r="AB687"/>
      <c r="AC687"/>
      <c r="AD687" t="s">
        <v>899</v>
      </c>
    </row>
    <row r="688" spans="1:30">
      <c r="A688">
        <v>2110060126</v>
      </c>
      <c r="B688" t="s">
        <v>30</v>
      </c>
      <c r="C688" t="s">
        <v>31</v>
      </c>
      <c r="D688" t="s">
        <v>32</v>
      </c>
      <c r="E688" t="s">
        <v>72</v>
      </c>
      <c r="F688" t="s">
        <v>166</v>
      </c>
      <c r="G688" t="s">
        <v>167</v>
      </c>
      <c r="H688" t="s">
        <v>35</v>
      </c>
      <c r="I688" t="s">
        <v>311</v>
      </c>
      <c r="J688"/>
      <c r="K688" t="str">
        <f>"DE7580A177"</f>
        <v>0</v>
      </c>
      <c r="L688">
        <v>529100</v>
      </c>
      <c r="M688"/>
      <c r="N688" t="s">
        <v>867</v>
      </c>
      <c r="O688" t="s">
        <v>38</v>
      </c>
      <c r="P688" t="s">
        <v>53</v>
      </c>
      <c r="Q688" t="s">
        <v>38</v>
      </c>
      <c r="R688" t="s">
        <v>38</v>
      </c>
      <c r="S688" t="s">
        <v>42</v>
      </c>
      <c r="T688" t="s">
        <v>42</v>
      </c>
      <c r="U688" t="s">
        <v>847</v>
      </c>
      <c r="V688" t="s">
        <v>636</v>
      </c>
      <c r="W688" t="s">
        <v>847</v>
      </c>
      <c r="X688" t="s">
        <v>824</v>
      </c>
      <c r="Y688" t="s">
        <v>895</v>
      </c>
      <c r="Z688" t="s">
        <v>47</v>
      </c>
      <c r="AA688"/>
      <c r="AB688"/>
      <c r="AC688"/>
      <c r="AD688" t="s">
        <v>899</v>
      </c>
    </row>
    <row r="689" spans="1:30">
      <c r="A689">
        <v>2110060129</v>
      </c>
      <c r="B689" t="s">
        <v>30</v>
      </c>
      <c r="C689" t="s">
        <v>31</v>
      </c>
      <c r="D689" t="s">
        <v>32</v>
      </c>
      <c r="E689" t="s">
        <v>72</v>
      </c>
      <c r="F689" t="s">
        <v>64</v>
      </c>
      <c r="G689" t="s">
        <v>99</v>
      </c>
      <c r="H689" t="s">
        <v>50</v>
      </c>
      <c r="I689" t="s">
        <v>408</v>
      </c>
      <c r="J689" t="s">
        <v>409</v>
      </c>
      <c r="K689" t="str">
        <f>"MZJ10D48751"</f>
        <v>0</v>
      </c>
      <c r="L689">
        <v>86400</v>
      </c>
      <c r="M689"/>
      <c r="N689" t="s">
        <v>867</v>
      </c>
      <c r="O689" t="s">
        <v>38</v>
      </c>
      <c r="P689" t="s">
        <v>53</v>
      </c>
      <c r="Q689" t="s">
        <v>38</v>
      </c>
      <c r="R689" t="s">
        <v>38</v>
      </c>
      <c r="S689" t="s">
        <v>42</v>
      </c>
      <c r="T689" t="s">
        <v>42</v>
      </c>
      <c r="U689" t="s">
        <v>847</v>
      </c>
      <c r="V689" t="s">
        <v>636</v>
      </c>
      <c r="W689" t="s">
        <v>847</v>
      </c>
      <c r="X689" t="s">
        <v>824</v>
      </c>
      <c r="Y689" t="s">
        <v>895</v>
      </c>
      <c r="Z689" t="s">
        <v>47</v>
      </c>
      <c r="AA689"/>
      <c r="AB689"/>
      <c r="AC689"/>
      <c r="AD689" t="s">
        <v>899</v>
      </c>
    </row>
    <row r="690" spans="1:30">
      <c r="A690">
        <v>2110060131</v>
      </c>
      <c r="B690" t="s">
        <v>30</v>
      </c>
      <c r="C690" t="s">
        <v>31</v>
      </c>
      <c r="D690" t="s">
        <v>32</v>
      </c>
      <c r="E690" t="s">
        <v>72</v>
      </c>
      <c r="F690" t="s">
        <v>166</v>
      </c>
      <c r="G690" t="s">
        <v>167</v>
      </c>
      <c r="H690" t="s">
        <v>35</v>
      </c>
      <c r="I690" t="s">
        <v>168</v>
      </c>
      <c r="J690" t="s">
        <v>900</v>
      </c>
      <c r="K690" t="str">
        <f>"L19170925060"</f>
        <v>0</v>
      </c>
      <c r="L690">
        <v>65000</v>
      </c>
      <c r="M690"/>
      <c r="N690" t="s">
        <v>903</v>
      </c>
      <c r="O690" t="s">
        <v>38</v>
      </c>
      <c r="P690" t="s">
        <v>53</v>
      </c>
      <c r="Q690" t="s">
        <v>38</v>
      </c>
      <c r="R690" t="s">
        <v>38</v>
      </c>
      <c r="S690" t="s">
        <v>42</v>
      </c>
      <c r="T690" t="s">
        <v>42</v>
      </c>
      <c r="U690" t="s">
        <v>847</v>
      </c>
      <c r="V690" t="s">
        <v>636</v>
      </c>
      <c r="W690" t="s">
        <v>847</v>
      </c>
      <c r="X690" t="s">
        <v>824</v>
      </c>
      <c r="Y690" t="s">
        <v>895</v>
      </c>
      <c r="Z690" t="s">
        <v>47</v>
      </c>
      <c r="AA690"/>
      <c r="AB690"/>
      <c r="AC690"/>
      <c r="AD690" t="s">
        <v>638</v>
      </c>
    </row>
    <row r="691" spans="1:30">
      <c r="A691">
        <v>2110060132</v>
      </c>
      <c r="B691" t="s">
        <v>30</v>
      </c>
      <c r="C691" t="s">
        <v>31</v>
      </c>
      <c r="D691" t="s">
        <v>32</v>
      </c>
      <c r="E691" t="s">
        <v>72</v>
      </c>
      <c r="F691" t="s">
        <v>64</v>
      </c>
      <c r="G691" t="s">
        <v>99</v>
      </c>
      <c r="H691" t="s">
        <v>50</v>
      </c>
      <c r="I691" t="s">
        <v>408</v>
      </c>
      <c r="J691" t="s">
        <v>770</v>
      </c>
      <c r="K691" t="str">
        <f>"MZJ10D48452"</f>
        <v>0</v>
      </c>
      <c r="L691">
        <v>86400</v>
      </c>
      <c r="M691"/>
      <c r="N691" t="s">
        <v>903</v>
      </c>
      <c r="O691" t="s">
        <v>38</v>
      </c>
      <c r="P691" t="s">
        <v>53</v>
      </c>
      <c r="Q691" t="s">
        <v>38</v>
      </c>
      <c r="R691" t="s">
        <v>38</v>
      </c>
      <c r="S691" t="s">
        <v>42</v>
      </c>
      <c r="T691" t="s">
        <v>42</v>
      </c>
      <c r="U691" t="s">
        <v>847</v>
      </c>
      <c r="V691" t="s">
        <v>636</v>
      </c>
      <c r="W691" t="s">
        <v>847</v>
      </c>
      <c r="X691" t="s">
        <v>824</v>
      </c>
      <c r="Y691" t="s">
        <v>895</v>
      </c>
      <c r="Z691" t="s">
        <v>47</v>
      </c>
      <c r="AA691"/>
      <c r="AB691"/>
      <c r="AC691"/>
      <c r="AD691" t="s">
        <v>638</v>
      </c>
    </row>
    <row r="692" spans="1:30">
      <c r="A692">
        <v>2110060133</v>
      </c>
      <c r="B692" t="s">
        <v>30</v>
      </c>
      <c r="C692" t="s">
        <v>31</v>
      </c>
      <c r="D692" t="s">
        <v>32</v>
      </c>
      <c r="E692" t="s">
        <v>72</v>
      </c>
      <c r="F692" t="s">
        <v>147</v>
      </c>
      <c r="G692" t="s">
        <v>148</v>
      </c>
      <c r="H692" t="s">
        <v>35</v>
      </c>
      <c r="I692" t="s">
        <v>149</v>
      </c>
      <c r="J692" t="s">
        <v>904</v>
      </c>
      <c r="K692" t="str">
        <f>"V301A1911012"</f>
        <v>0</v>
      </c>
      <c r="L692">
        <v>47952</v>
      </c>
      <c r="M692"/>
      <c r="N692" t="s">
        <v>905</v>
      </c>
      <c r="O692" t="s">
        <v>38</v>
      </c>
      <c r="P692" t="s">
        <v>53</v>
      </c>
      <c r="Q692" t="s">
        <v>38</v>
      </c>
      <c r="R692" t="s">
        <v>38</v>
      </c>
      <c r="S692" t="s">
        <v>42</v>
      </c>
      <c r="T692" t="s">
        <v>42</v>
      </c>
      <c r="U692" t="s">
        <v>847</v>
      </c>
      <c r="V692" t="s">
        <v>636</v>
      </c>
      <c r="W692" t="s">
        <v>847</v>
      </c>
      <c r="X692" t="s">
        <v>824</v>
      </c>
      <c r="Y692" t="s">
        <v>895</v>
      </c>
      <c r="Z692" t="s">
        <v>47</v>
      </c>
      <c r="AA692"/>
      <c r="AB692"/>
      <c r="AC692"/>
      <c r="AD692" t="s">
        <v>854</v>
      </c>
    </row>
    <row r="693" spans="1:30">
      <c r="A693">
        <v>2110060134</v>
      </c>
      <c r="B693" t="s">
        <v>30</v>
      </c>
      <c r="C693" t="s">
        <v>31</v>
      </c>
      <c r="D693" t="s">
        <v>32</v>
      </c>
      <c r="E693" t="s">
        <v>72</v>
      </c>
      <c r="F693" t="s">
        <v>147</v>
      </c>
      <c r="G693" t="s">
        <v>148</v>
      </c>
      <c r="H693" t="s">
        <v>35</v>
      </c>
      <c r="I693" t="s">
        <v>149</v>
      </c>
      <c r="J693" t="s">
        <v>906</v>
      </c>
      <c r="K693" t="str">
        <f>"V301A1808007"</f>
        <v>0</v>
      </c>
      <c r="L693">
        <v>47952</v>
      </c>
      <c r="M693"/>
      <c r="N693" t="s">
        <v>905</v>
      </c>
      <c r="O693" t="s">
        <v>38</v>
      </c>
      <c r="P693" t="s">
        <v>53</v>
      </c>
      <c r="Q693" t="s">
        <v>38</v>
      </c>
      <c r="R693" t="s">
        <v>38</v>
      </c>
      <c r="S693" t="s">
        <v>42</v>
      </c>
      <c r="T693" t="s">
        <v>42</v>
      </c>
      <c r="U693" t="s">
        <v>847</v>
      </c>
      <c r="V693" t="s">
        <v>636</v>
      </c>
      <c r="W693" t="s">
        <v>847</v>
      </c>
      <c r="X693" t="s">
        <v>824</v>
      </c>
      <c r="Y693" t="s">
        <v>895</v>
      </c>
      <c r="Z693" t="s">
        <v>47</v>
      </c>
      <c r="AA693"/>
      <c r="AB693"/>
      <c r="AC693"/>
      <c r="AD693" t="s">
        <v>854</v>
      </c>
    </row>
    <row r="694" spans="1:30">
      <c r="A694">
        <v>2110060137</v>
      </c>
      <c r="B694" t="s">
        <v>30</v>
      </c>
      <c r="C694" t="s">
        <v>31</v>
      </c>
      <c r="D694" t="s">
        <v>32</v>
      </c>
      <c r="E694" t="s">
        <v>72</v>
      </c>
      <c r="F694" t="s">
        <v>64</v>
      </c>
      <c r="G694" t="s">
        <v>99</v>
      </c>
      <c r="H694" t="s">
        <v>50</v>
      </c>
      <c r="I694" t="s">
        <v>408</v>
      </c>
      <c r="J694" t="s">
        <v>770</v>
      </c>
      <c r="K694" t="str">
        <f>"MZJ10D48278"</f>
        <v>0</v>
      </c>
      <c r="L694">
        <v>86400</v>
      </c>
      <c r="M694"/>
      <c r="N694" t="s">
        <v>907</v>
      </c>
      <c r="O694" t="s">
        <v>38</v>
      </c>
      <c r="P694" t="s">
        <v>53</v>
      </c>
      <c r="Q694" t="s">
        <v>38</v>
      </c>
      <c r="R694" t="s">
        <v>38</v>
      </c>
      <c r="S694" t="s">
        <v>42</v>
      </c>
      <c r="T694" t="s">
        <v>42</v>
      </c>
      <c r="U694" t="s">
        <v>847</v>
      </c>
      <c r="V694" t="s">
        <v>636</v>
      </c>
      <c r="W694" t="s">
        <v>847</v>
      </c>
      <c r="X694" t="s">
        <v>824</v>
      </c>
      <c r="Y694" t="s">
        <v>895</v>
      </c>
      <c r="Z694" t="s">
        <v>47</v>
      </c>
      <c r="AA694"/>
      <c r="AB694"/>
      <c r="AC694"/>
      <c r="AD694" t="s">
        <v>908</v>
      </c>
    </row>
    <row r="695" spans="1:30">
      <c r="A695">
        <v>2110060138</v>
      </c>
      <c r="B695" t="s">
        <v>30</v>
      </c>
      <c r="C695" t="s">
        <v>31</v>
      </c>
      <c r="D695" t="s">
        <v>32</v>
      </c>
      <c r="E695" t="s">
        <v>72</v>
      </c>
      <c r="F695" t="s">
        <v>64</v>
      </c>
      <c r="G695" t="s">
        <v>99</v>
      </c>
      <c r="H695" t="s">
        <v>50</v>
      </c>
      <c r="I695" t="s">
        <v>408</v>
      </c>
      <c r="J695" t="s">
        <v>412</v>
      </c>
      <c r="K695" t="str">
        <f>"MZJ5D122617"</f>
        <v>0</v>
      </c>
      <c r="L695">
        <v>30300</v>
      </c>
      <c r="M695"/>
      <c r="N695" t="s">
        <v>907</v>
      </c>
      <c r="O695" t="s">
        <v>38</v>
      </c>
      <c r="P695" t="s">
        <v>53</v>
      </c>
      <c r="Q695" t="s">
        <v>38</v>
      </c>
      <c r="R695" t="s">
        <v>38</v>
      </c>
      <c r="S695" t="s">
        <v>42</v>
      </c>
      <c r="T695" t="s">
        <v>42</v>
      </c>
      <c r="U695" t="s">
        <v>847</v>
      </c>
      <c r="V695" t="s">
        <v>636</v>
      </c>
      <c r="W695" t="s">
        <v>847</v>
      </c>
      <c r="X695" t="s">
        <v>824</v>
      </c>
      <c r="Y695" t="s">
        <v>895</v>
      </c>
      <c r="Z695" t="s">
        <v>47</v>
      </c>
      <c r="AA695"/>
      <c r="AB695"/>
      <c r="AC695"/>
      <c r="AD695" t="s">
        <v>908</v>
      </c>
    </row>
    <row r="696" spans="1:30">
      <c r="A696">
        <v>2110060139</v>
      </c>
      <c r="B696" t="s">
        <v>30</v>
      </c>
      <c r="C696" t="s">
        <v>31</v>
      </c>
      <c r="D696" t="s">
        <v>32</v>
      </c>
      <c r="E696" t="s">
        <v>151</v>
      </c>
      <c r="F696" t="s">
        <v>152</v>
      </c>
      <c r="G696" t="s">
        <v>763</v>
      </c>
      <c r="H696" t="s">
        <v>50</v>
      </c>
      <c r="I696" t="s">
        <v>909</v>
      </c>
      <c r="J696" t="s">
        <v>910</v>
      </c>
      <c r="K696" t="str">
        <f>"NA"</f>
        <v>0</v>
      </c>
      <c r="L696">
        <v>250000</v>
      </c>
      <c r="M696"/>
      <c r="N696" t="s">
        <v>911</v>
      </c>
      <c r="O696" t="s">
        <v>38</v>
      </c>
      <c r="P696" t="s">
        <v>53</v>
      </c>
      <c r="Q696" t="s">
        <v>38</v>
      </c>
      <c r="R696" t="s">
        <v>38</v>
      </c>
      <c r="S696" t="s">
        <v>42</v>
      </c>
      <c r="T696" t="s">
        <v>42</v>
      </c>
      <c r="U696" t="s">
        <v>847</v>
      </c>
      <c r="V696" t="s">
        <v>636</v>
      </c>
      <c r="W696" t="s">
        <v>847</v>
      </c>
      <c r="X696" t="s">
        <v>824</v>
      </c>
      <c r="Y696" t="s">
        <v>895</v>
      </c>
      <c r="Z696" t="s">
        <v>47</v>
      </c>
      <c r="AA696"/>
      <c r="AB696"/>
      <c r="AC696"/>
      <c r="AD696" t="s">
        <v>638</v>
      </c>
    </row>
    <row r="697" spans="1:30">
      <c r="A697">
        <v>2110060140</v>
      </c>
      <c r="B697" t="s">
        <v>30</v>
      </c>
      <c r="C697" t="s">
        <v>31</v>
      </c>
      <c r="D697" t="s">
        <v>32</v>
      </c>
      <c r="E697" t="s">
        <v>151</v>
      </c>
      <c r="F697" t="s">
        <v>48</v>
      </c>
      <c r="G697" t="s">
        <v>570</v>
      </c>
      <c r="H697" t="s">
        <v>50</v>
      </c>
      <c r="I697" t="s">
        <v>912</v>
      </c>
      <c r="J697" t="s">
        <v>315</v>
      </c>
      <c r="K697" t="str">
        <f>"DR1309388"</f>
        <v>0</v>
      </c>
      <c r="L697">
        <v>25000</v>
      </c>
      <c r="M697"/>
      <c r="N697" t="s">
        <v>913</v>
      </c>
      <c r="O697" t="s">
        <v>38</v>
      </c>
      <c r="P697" t="s">
        <v>53</v>
      </c>
      <c r="Q697" t="s">
        <v>38</v>
      </c>
      <c r="R697" t="s">
        <v>38</v>
      </c>
      <c r="S697" t="s">
        <v>42</v>
      </c>
      <c r="T697" t="s">
        <v>42</v>
      </c>
      <c r="U697" t="s">
        <v>847</v>
      </c>
      <c r="V697" t="s">
        <v>636</v>
      </c>
      <c r="W697" t="s">
        <v>847</v>
      </c>
      <c r="X697" t="s">
        <v>824</v>
      </c>
      <c r="Y697" t="s">
        <v>895</v>
      </c>
      <c r="Z697" t="s">
        <v>47</v>
      </c>
      <c r="AA697"/>
      <c r="AB697"/>
      <c r="AC697"/>
      <c r="AD697" t="s">
        <v>638</v>
      </c>
    </row>
    <row r="698" spans="1:30">
      <c r="A698">
        <v>2110060141</v>
      </c>
      <c r="B698" t="s">
        <v>30</v>
      </c>
      <c r="C698" t="s">
        <v>31</v>
      </c>
      <c r="D698" t="s">
        <v>32</v>
      </c>
      <c r="E698" t="s">
        <v>151</v>
      </c>
      <c r="F698" t="s">
        <v>152</v>
      </c>
      <c r="G698" t="s">
        <v>763</v>
      </c>
      <c r="H698" t="s">
        <v>50</v>
      </c>
      <c r="I698" t="s">
        <v>764</v>
      </c>
      <c r="J698" t="s">
        <v>914</v>
      </c>
      <c r="K698" t="str">
        <f>"NA"</f>
        <v>0</v>
      </c>
      <c r="L698">
        <v>323500</v>
      </c>
      <c r="M698"/>
      <c r="N698" t="s">
        <v>915</v>
      </c>
      <c r="O698" t="s">
        <v>38</v>
      </c>
      <c r="P698" t="s">
        <v>53</v>
      </c>
      <c r="Q698" t="s">
        <v>38</v>
      </c>
      <c r="R698" t="s">
        <v>38</v>
      </c>
      <c r="S698" t="s">
        <v>42</v>
      </c>
      <c r="T698" t="s">
        <v>42</v>
      </c>
      <c r="U698" t="s">
        <v>847</v>
      </c>
      <c r="V698" t="s">
        <v>636</v>
      </c>
      <c r="W698" t="s">
        <v>847</v>
      </c>
      <c r="X698" t="s">
        <v>824</v>
      </c>
      <c r="Y698" t="s">
        <v>895</v>
      </c>
      <c r="Z698" t="s">
        <v>47</v>
      </c>
      <c r="AA698"/>
      <c r="AB698"/>
      <c r="AC698"/>
      <c r="AD698" t="s">
        <v>638</v>
      </c>
    </row>
    <row r="699" spans="1:30">
      <c r="A699">
        <v>2110060142</v>
      </c>
      <c r="B699" t="s">
        <v>30</v>
      </c>
      <c r="C699" t="s">
        <v>31</v>
      </c>
      <c r="D699" t="s">
        <v>32</v>
      </c>
      <c r="E699" t="s">
        <v>151</v>
      </c>
      <c r="F699" t="s">
        <v>152</v>
      </c>
      <c r="G699" t="s">
        <v>723</v>
      </c>
      <c r="H699" t="s">
        <v>50</v>
      </c>
      <c r="I699" t="s">
        <v>912</v>
      </c>
      <c r="J699" t="s">
        <v>916</v>
      </c>
      <c r="K699" t="str">
        <f>"M1309102"</f>
        <v>0</v>
      </c>
      <c r="L699">
        <v>94500</v>
      </c>
      <c r="M699"/>
      <c r="N699" t="s">
        <v>913</v>
      </c>
      <c r="O699" t="s">
        <v>38</v>
      </c>
      <c r="P699" t="s">
        <v>53</v>
      </c>
      <c r="Q699" t="s">
        <v>38</v>
      </c>
      <c r="R699" t="s">
        <v>38</v>
      </c>
      <c r="S699" t="s">
        <v>42</v>
      </c>
      <c r="T699" t="s">
        <v>42</v>
      </c>
      <c r="U699" t="s">
        <v>847</v>
      </c>
      <c r="V699" t="s">
        <v>636</v>
      </c>
      <c r="W699" t="s">
        <v>847</v>
      </c>
      <c r="X699" t="s">
        <v>824</v>
      </c>
      <c r="Y699" t="s">
        <v>895</v>
      </c>
      <c r="Z699" t="s">
        <v>47</v>
      </c>
      <c r="AA699"/>
      <c r="AB699"/>
      <c r="AC699"/>
      <c r="AD699" t="s">
        <v>638</v>
      </c>
    </row>
    <row r="700" spans="1:30">
      <c r="A700">
        <v>2110060149</v>
      </c>
      <c r="B700" t="s">
        <v>30</v>
      </c>
      <c r="C700" t="s">
        <v>31</v>
      </c>
      <c r="D700" t="s">
        <v>32</v>
      </c>
      <c r="E700" t="s">
        <v>344</v>
      </c>
      <c r="F700" t="s">
        <v>147</v>
      </c>
      <c r="G700" t="s">
        <v>148</v>
      </c>
      <c r="H700" t="s">
        <v>35</v>
      </c>
      <c r="I700" t="s">
        <v>311</v>
      </c>
      <c r="J700" t="s">
        <v>882</v>
      </c>
      <c r="K700" t="str">
        <f>"CN2222202"</f>
        <v>0</v>
      </c>
      <c r="L700">
        <v>350000</v>
      </c>
      <c r="M700"/>
      <c r="N700" t="s">
        <v>917</v>
      </c>
      <c r="O700" t="s">
        <v>38</v>
      </c>
      <c r="P700" t="s">
        <v>53</v>
      </c>
      <c r="Q700" t="s">
        <v>38</v>
      </c>
      <c r="R700" t="s">
        <v>38</v>
      </c>
      <c r="S700" t="s">
        <v>42</v>
      </c>
      <c r="T700" t="s">
        <v>42</v>
      </c>
      <c r="U700" t="s">
        <v>847</v>
      </c>
      <c r="V700" t="s">
        <v>636</v>
      </c>
      <c r="W700" t="s">
        <v>847</v>
      </c>
      <c r="X700" t="s">
        <v>824</v>
      </c>
      <c r="Y700" t="s">
        <v>895</v>
      </c>
      <c r="Z700" t="s">
        <v>47</v>
      </c>
      <c r="AA700"/>
      <c r="AB700"/>
      <c r="AC700"/>
      <c r="AD700" t="s">
        <v>638</v>
      </c>
    </row>
    <row r="701" spans="1:30">
      <c r="A701">
        <v>2110060154</v>
      </c>
      <c r="B701" t="s">
        <v>30</v>
      </c>
      <c r="C701" t="s">
        <v>31</v>
      </c>
      <c r="D701" t="s">
        <v>32</v>
      </c>
      <c r="E701" t="s">
        <v>93</v>
      </c>
      <c r="F701" t="s">
        <v>166</v>
      </c>
      <c r="G701" t="s">
        <v>167</v>
      </c>
      <c r="H701" t="s">
        <v>35</v>
      </c>
      <c r="I701" t="s">
        <v>311</v>
      </c>
      <c r="J701" t="s">
        <v>487</v>
      </c>
      <c r="K701" t="str">
        <f>"DE7580A157"</f>
        <v>0</v>
      </c>
      <c r="L701">
        <v>529100</v>
      </c>
      <c r="M701"/>
      <c r="N701" t="s">
        <v>918</v>
      </c>
      <c r="O701" t="s">
        <v>38</v>
      </c>
      <c r="P701" t="s">
        <v>53</v>
      </c>
      <c r="Q701" t="s">
        <v>38</v>
      </c>
      <c r="R701" t="s">
        <v>38</v>
      </c>
      <c r="S701" t="s">
        <v>42</v>
      </c>
      <c r="T701" t="s">
        <v>42</v>
      </c>
      <c r="U701" t="s">
        <v>847</v>
      </c>
      <c r="V701" t="s">
        <v>636</v>
      </c>
      <c r="W701" t="s">
        <v>847</v>
      </c>
      <c r="X701" t="s">
        <v>824</v>
      </c>
      <c r="Y701" t="s">
        <v>895</v>
      </c>
      <c r="Z701" t="s">
        <v>47</v>
      </c>
      <c r="AA701"/>
      <c r="AB701"/>
      <c r="AC701"/>
      <c r="AD701" t="s">
        <v>638</v>
      </c>
    </row>
    <row r="702" spans="1:30">
      <c r="A702">
        <v>2110060162</v>
      </c>
      <c r="B702" t="s">
        <v>30</v>
      </c>
      <c r="C702" t="s">
        <v>31</v>
      </c>
      <c r="D702" t="s">
        <v>32</v>
      </c>
      <c r="E702" t="s">
        <v>93</v>
      </c>
      <c r="F702" t="s">
        <v>166</v>
      </c>
      <c r="G702" t="s">
        <v>167</v>
      </c>
      <c r="H702" t="s">
        <v>35</v>
      </c>
      <c r="I702" t="s">
        <v>919</v>
      </c>
      <c r="J702" t="s">
        <v>920</v>
      </c>
      <c r="K702" t="str">
        <f>"TM909201920140078"</f>
        <v>0</v>
      </c>
      <c r="L702">
        <v>138585</v>
      </c>
      <c r="M702"/>
      <c r="N702" t="s">
        <v>918</v>
      </c>
      <c r="O702" t="s">
        <v>38</v>
      </c>
      <c r="P702" t="s">
        <v>53</v>
      </c>
      <c r="Q702" t="s">
        <v>38</v>
      </c>
      <c r="R702" t="s">
        <v>38</v>
      </c>
      <c r="S702" t="s">
        <v>42</v>
      </c>
      <c r="T702" t="s">
        <v>42</v>
      </c>
      <c r="U702" t="s">
        <v>847</v>
      </c>
      <c r="V702" t="s">
        <v>636</v>
      </c>
      <c r="W702" t="s">
        <v>847</v>
      </c>
      <c r="X702" t="s">
        <v>824</v>
      </c>
      <c r="Y702" t="s">
        <v>895</v>
      </c>
      <c r="Z702" t="s">
        <v>47</v>
      </c>
      <c r="AA702"/>
      <c r="AB702"/>
      <c r="AC702"/>
      <c r="AD702" t="s">
        <v>638</v>
      </c>
    </row>
    <row r="703" spans="1:30">
      <c r="A703">
        <v>2110060170</v>
      </c>
      <c r="B703" t="s">
        <v>30</v>
      </c>
      <c r="C703" t="s">
        <v>31</v>
      </c>
      <c r="D703" t="s">
        <v>32</v>
      </c>
      <c r="E703" t="s">
        <v>93</v>
      </c>
      <c r="F703" t="s">
        <v>246</v>
      </c>
      <c r="G703" t="s">
        <v>247</v>
      </c>
      <c r="H703" t="s">
        <v>50</v>
      </c>
      <c r="I703" t="s">
        <v>778</v>
      </c>
      <c r="J703" t="s">
        <v>921</v>
      </c>
      <c r="K703" t="str">
        <f>"POTGSA0046"</f>
        <v>0</v>
      </c>
      <c r="L703">
        <v>29169</v>
      </c>
      <c r="M703"/>
      <c r="N703" t="s">
        <v>922</v>
      </c>
      <c r="O703" t="s">
        <v>38</v>
      </c>
      <c r="P703" t="s">
        <v>53</v>
      </c>
      <c r="Q703" t="s">
        <v>38</v>
      </c>
      <c r="R703" t="s">
        <v>38</v>
      </c>
      <c r="S703" t="s">
        <v>42</v>
      </c>
      <c r="T703" t="s">
        <v>42</v>
      </c>
      <c r="U703" t="s">
        <v>847</v>
      </c>
      <c r="V703" t="s">
        <v>636</v>
      </c>
      <c r="W703" t="s">
        <v>847</v>
      </c>
      <c r="X703" t="s">
        <v>824</v>
      </c>
      <c r="Y703" t="s">
        <v>895</v>
      </c>
      <c r="Z703" t="s">
        <v>47</v>
      </c>
      <c r="AA703"/>
      <c r="AB703"/>
      <c r="AC703"/>
      <c r="AD703" t="s">
        <v>862</v>
      </c>
    </row>
    <row r="704" spans="1:30">
      <c r="A704">
        <v>2110060171</v>
      </c>
      <c r="B704" t="s">
        <v>30</v>
      </c>
      <c r="C704" t="s">
        <v>31</v>
      </c>
      <c r="D704" t="s">
        <v>32</v>
      </c>
      <c r="E704" t="s">
        <v>93</v>
      </c>
      <c r="F704" t="s">
        <v>246</v>
      </c>
      <c r="G704" t="s">
        <v>247</v>
      </c>
      <c r="H704" t="s">
        <v>50</v>
      </c>
      <c r="I704" t="s">
        <v>778</v>
      </c>
      <c r="J704" t="s">
        <v>921</v>
      </c>
      <c r="K704" t="str">
        <f>"POTGSA0048"</f>
        <v>0</v>
      </c>
      <c r="L704">
        <v>29169</v>
      </c>
      <c r="M704"/>
      <c r="N704" t="s">
        <v>922</v>
      </c>
      <c r="O704" t="s">
        <v>38</v>
      </c>
      <c r="P704" t="s">
        <v>53</v>
      </c>
      <c r="Q704" t="s">
        <v>38</v>
      </c>
      <c r="R704" t="s">
        <v>38</v>
      </c>
      <c r="S704" t="s">
        <v>42</v>
      </c>
      <c r="T704" t="s">
        <v>42</v>
      </c>
      <c r="U704" t="s">
        <v>847</v>
      </c>
      <c r="V704" t="s">
        <v>636</v>
      </c>
      <c r="W704" t="s">
        <v>847</v>
      </c>
      <c r="X704" t="s">
        <v>824</v>
      </c>
      <c r="Y704" t="s">
        <v>895</v>
      </c>
      <c r="Z704" t="s">
        <v>47</v>
      </c>
      <c r="AA704"/>
      <c r="AB704"/>
      <c r="AC704"/>
      <c r="AD704" t="s">
        <v>862</v>
      </c>
    </row>
    <row r="705" spans="1:30">
      <c r="A705">
        <v>3110100010</v>
      </c>
      <c r="B705" t="s">
        <v>30</v>
      </c>
      <c r="C705" t="s">
        <v>61</v>
      </c>
      <c r="D705" t="s">
        <v>71</v>
      </c>
      <c r="E705" t="s">
        <v>55</v>
      </c>
      <c r="F705" t="s">
        <v>387</v>
      </c>
      <c r="G705" t="s">
        <v>387</v>
      </c>
      <c r="H705" t="s">
        <v>35</v>
      </c>
      <c r="I705" t="s">
        <v>549</v>
      </c>
      <c r="J705" t="s">
        <v>923</v>
      </c>
      <c r="K705" t="str">
        <f>"19712"</f>
        <v>0</v>
      </c>
      <c r="L705">
        <v>1430000</v>
      </c>
      <c r="M705"/>
      <c r="N705" t="s">
        <v>38</v>
      </c>
      <c r="O705" t="s">
        <v>38</v>
      </c>
      <c r="P705" t="s">
        <v>53</v>
      </c>
      <c r="Q705" t="s">
        <v>38</v>
      </c>
      <c r="R705" t="s">
        <v>38</v>
      </c>
      <c r="S705" t="s">
        <v>42</v>
      </c>
      <c r="T705" t="s">
        <v>42</v>
      </c>
      <c r="U705" t="s">
        <v>924</v>
      </c>
      <c r="V705" t="s">
        <v>925</v>
      </c>
      <c r="W705" t="s">
        <v>924</v>
      </c>
      <c r="X705" t="s">
        <v>824</v>
      </c>
      <c r="Y705" t="s">
        <v>926</v>
      </c>
      <c r="Z705" t="s">
        <v>47</v>
      </c>
      <c r="AA705"/>
      <c r="AB705"/>
      <c r="AC705"/>
      <c r="AD705"/>
    </row>
    <row r="706" spans="1:30">
      <c r="A706">
        <v>3110100011</v>
      </c>
      <c r="B706" t="s">
        <v>30</v>
      </c>
      <c r="C706" t="s">
        <v>61</v>
      </c>
      <c r="D706" t="s">
        <v>71</v>
      </c>
      <c r="E706" t="s">
        <v>55</v>
      </c>
      <c r="F706" t="s">
        <v>387</v>
      </c>
      <c r="G706" t="s">
        <v>387</v>
      </c>
      <c r="H706" t="s">
        <v>35</v>
      </c>
      <c r="I706" t="s">
        <v>549</v>
      </c>
      <c r="J706" t="s">
        <v>927</v>
      </c>
      <c r="K706" t="str">
        <f>"19676"</f>
        <v>0</v>
      </c>
      <c r="L706">
        <v>1430000</v>
      </c>
      <c r="M706"/>
      <c r="N706" t="s">
        <v>38</v>
      </c>
      <c r="O706" t="s">
        <v>38</v>
      </c>
      <c r="P706" t="s">
        <v>53</v>
      </c>
      <c r="Q706" t="s">
        <v>38</v>
      </c>
      <c r="R706" t="s">
        <v>38</v>
      </c>
      <c r="S706" t="s">
        <v>42</v>
      </c>
      <c r="T706" t="s">
        <v>42</v>
      </c>
      <c r="U706" t="s">
        <v>924</v>
      </c>
      <c r="V706" t="s">
        <v>925</v>
      </c>
      <c r="W706" t="s">
        <v>924</v>
      </c>
      <c r="X706" t="s">
        <v>824</v>
      </c>
      <c r="Y706" t="s">
        <v>926</v>
      </c>
      <c r="Z706" t="s">
        <v>47</v>
      </c>
      <c r="AA706"/>
      <c r="AB706"/>
      <c r="AC706"/>
      <c r="AD706"/>
    </row>
    <row r="707" spans="1:30">
      <c r="A707">
        <v>3110100013</v>
      </c>
      <c r="B707" t="s">
        <v>30</v>
      </c>
      <c r="C707" t="s">
        <v>61</v>
      </c>
      <c r="D707" t="s">
        <v>71</v>
      </c>
      <c r="E707" t="s">
        <v>55</v>
      </c>
      <c r="F707" t="s">
        <v>387</v>
      </c>
      <c r="G707" t="s">
        <v>388</v>
      </c>
      <c r="H707" t="s">
        <v>50</v>
      </c>
      <c r="I707" t="s">
        <v>928</v>
      </c>
      <c r="J707" t="s">
        <v>929</v>
      </c>
      <c r="K707" t="str">
        <f>"110212"</f>
        <v>0</v>
      </c>
      <c r="L707">
        <v>60000</v>
      </c>
      <c r="M707"/>
      <c r="N707" t="s">
        <v>38</v>
      </c>
      <c r="O707" t="s">
        <v>38</v>
      </c>
      <c r="P707" t="s">
        <v>53</v>
      </c>
      <c r="Q707" t="s">
        <v>38</v>
      </c>
      <c r="R707" t="s">
        <v>38</v>
      </c>
      <c r="S707" t="s">
        <v>42</v>
      </c>
      <c r="T707" t="s">
        <v>42</v>
      </c>
      <c r="U707" t="s">
        <v>924</v>
      </c>
      <c r="V707" t="s">
        <v>925</v>
      </c>
      <c r="W707" t="s">
        <v>924</v>
      </c>
      <c r="X707" t="s">
        <v>824</v>
      </c>
      <c r="Y707" t="s">
        <v>926</v>
      </c>
      <c r="Z707" t="s">
        <v>47</v>
      </c>
      <c r="AA707"/>
      <c r="AB707"/>
      <c r="AC707"/>
      <c r="AD707"/>
    </row>
    <row r="708" spans="1:30">
      <c r="A708">
        <v>3110100014</v>
      </c>
      <c r="B708" t="s">
        <v>30</v>
      </c>
      <c r="C708" t="s">
        <v>61</v>
      </c>
      <c r="D708" t="s">
        <v>71</v>
      </c>
      <c r="E708" t="s">
        <v>55</v>
      </c>
      <c r="F708" t="s">
        <v>166</v>
      </c>
      <c r="G708" t="s">
        <v>167</v>
      </c>
      <c r="H708" t="s">
        <v>35</v>
      </c>
      <c r="I708" t="s">
        <v>432</v>
      </c>
      <c r="J708" t="s">
        <v>930</v>
      </c>
      <c r="K708" t="str">
        <f>"0102194"</f>
        <v>0</v>
      </c>
      <c r="L708">
        <v>65000</v>
      </c>
      <c r="M708"/>
      <c r="N708" t="s">
        <v>38</v>
      </c>
      <c r="O708" t="s">
        <v>38</v>
      </c>
      <c r="P708" t="s">
        <v>53</v>
      </c>
      <c r="Q708" t="s">
        <v>38</v>
      </c>
      <c r="R708" t="s">
        <v>38</v>
      </c>
      <c r="S708" t="s">
        <v>42</v>
      </c>
      <c r="T708" t="s">
        <v>42</v>
      </c>
      <c r="U708" t="s">
        <v>924</v>
      </c>
      <c r="V708" t="s">
        <v>925</v>
      </c>
      <c r="W708" t="s">
        <v>924</v>
      </c>
      <c r="X708" t="s">
        <v>824</v>
      </c>
      <c r="Y708" t="s">
        <v>926</v>
      </c>
      <c r="Z708" t="s">
        <v>47</v>
      </c>
      <c r="AA708"/>
      <c r="AB708"/>
      <c r="AC708"/>
      <c r="AD708"/>
    </row>
    <row r="709" spans="1:30">
      <c r="A709">
        <v>3110100016</v>
      </c>
      <c r="B709" t="s">
        <v>30</v>
      </c>
      <c r="C709" t="s">
        <v>61</v>
      </c>
      <c r="D709" t="s">
        <v>71</v>
      </c>
      <c r="E709" t="s">
        <v>55</v>
      </c>
      <c r="F709" t="s">
        <v>143</v>
      </c>
      <c r="G709" t="s">
        <v>144</v>
      </c>
      <c r="H709" t="s">
        <v>50</v>
      </c>
      <c r="I709" t="s">
        <v>382</v>
      </c>
      <c r="J709" t="s">
        <v>931</v>
      </c>
      <c r="K709" t="str">
        <f>"na"</f>
        <v>0</v>
      </c>
      <c r="L709">
        <v>34335</v>
      </c>
      <c r="M709"/>
      <c r="N709" t="s">
        <v>38</v>
      </c>
      <c r="O709" t="s">
        <v>38</v>
      </c>
      <c r="P709" t="s">
        <v>53</v>
      </c>
      <c r="Q709" t="s">
        <v>38</v>
      </c>
      <c r="R709" t="s">
        <v>38</v>
      </c>
      <c r="S709" t="s">
        <v>42</v>
      </c>
      <c r="T709" t="s">
        <v>42</v>
      </c>
      <c r="U709" t="s">
        <v>924</v>
      </c>
      <c r="V709" t="s">
        <v>925</v>
      </c>
      <c r="W709" t="s">
        <v>924</v>
      </c>
      <c r="X709" t="s">
        <v>824</v>
      </c>
      <c r="Y709" t="s">
        <v>926</v>
      </c>
      <c r="Z709" t="s">
        <v>47</v>
      </c>
      <c r="AA709"/>
      <c r="AB709"/>
      <c r="AC709"/>
      <c r="AD709"/>
    </row>
    <row r="710" spans="1:30">
      <c r="A710">
        <v>3110100017</v>
      </c>
      <c r="B710" t="s">
        <v>30</v>
      </c>
      <c r="C710" t="s">
        <v>61</v>
      </c>
      <c r="D710" t="s">
        <v>71</v>
      </c>
      <c r="E710" t="s">
        <v>55</v>
      </c>
      <c r="F710" t="s">
        <v>64</v>
      </c>
      <c r="G710" t="s">
        <v>99</v>
      </c>
      <c r="H710" t="s">
        <v>50</v>
      </c>
      <c r="I710" t="s">
        <v>408</v>
      </c>
      <c r="J710" t="s">
        <v>770</v>
      </c>
      <c r="K710" t="str">
        <f>"na"</f>
        <v>0</v>
      </c>
      <c r="L710">
        <v>86400</v>
      </c>
      <c r="M710"/>
      <c r="N710" t="s">
        <v>38</v>
      </c>
      <c r="O710" t="s">
        <v>38</v>
      </c>
      <c r="P710" t="s">
        <v>53</v>
      </c>
      <c r="Q710" t="s">
        <v>38</v>
      </c>
      <c r="R710" t="s">
        <v>38</v>
      </c>
      <c r="S710" t="s">
        <v>42</v>
      </c>
      <c r="T710" t="s">
        <v>42</v>
      </c>
      <c r="U710" t="s">
        <v>924</v>
      </c>
      <c r="V710" t="s">
        <v>925</v>
      </c>
      <c r="W710" t="s">
        <v>924</v>
      </c>
      <c r="X710" t="s">
        <v>824</v>
      </c>
      <c r="Y710" t="s">
        <v>926</v>
      </c>
      <c r="Z710" t="s">
        <v>47</v>
      </c>
      <c r="AA710"/>
      <c r="AB710"/>
      <c r="AC710"/>
      <c r="AD710"/>
    </row>
    <row r="711" spans="1:30">
      <c r="A711">
        <v>3110100018</v>
      </c>
      <c r="B711" t="s">
        <v>30</v>
      </c>
      <c r="C711" t="s">
        <v>61</v>
      </c>
      <c r="D711" t="s">
        <v>71</v>
      </c>
      <c r="E711" t="s">
        <v>55</v>
      </c>
      <c r="F711" t="s">
        <v>387</v>
      </c>
      <c r="G711" t="s">
        <v>388</v>
      </c>
      <c r="H711" t="s">
        <v>50</v>
      </c>
      <c r="I711" t="s">
        <v>749</v>
      </c>
      <c r="J711" t="s">
        <v>750</v>
      </c>
      <c r="K711" t="str">
        <f>"ht-17-b-4255"</f>
        <v>0</v>
      </c>
      <c r="L711">
        <v>220080</v>
      </c>
      <c r="M711"/>
      <c r="N711" t="s">
        <v>38</v>
      </c>
      <c r="O711" t="s">
        <v>38</v>
      </c>
      <c r="P711" t="s">
        <v>53</v>
      </c>
      <c r="Q711" t="s">
        <v>38</v>
      </c>
      <c r="R711" t="s">
        <v>38</v>
      </c>
      <c r="S711" t="s">
        <v>42</v>
      </c>
      <c r="T711" t="s">
        <v>42</v>
      </c>
      <c r="U711" t="s">
        <v>924</v>
      </c>
      <c r="V711" t="s">
        <v>925</v>
      </c>
      <c r="W711" t="s">
        <v>924</v>
      </c>
      <c r="X711" t="s">
        <v>824</v>
      </c>
      <c r="Y711" t="s">
        <v>926</v>
      </c>
      <c r="Z711" t="s">
        <v>47</v>
      </c>
      <c r="AA711"/>
      <c r="AB711"/>
      <c r="AC711"/>
      <c r="AD711"/>
    </row>
    <row r="712" spans="1:30">
      <c r="A712">
        <v>3110100021</v>
      </c>
      <c r="B712" t="s">
        <v>30</v>
      </c>
      <c r="C712" t="s">
        <v>61</v>
      </c>
      <c r="D712" t="s">
        <v>71</v>
      </c>
      <c r="E712" t="s">
        <v>55</v>
      </c>
      <c r="F712" t="s">
        <v>64</v>
      </c>
      <c r="G712" t="s">
        <v>556</v>
      </c>
      <c r="H712" t="s">
        <v>50</v>
      </c>
      <c r="I712" t="s">
        <v>375</v>
      </c>
      <c r="J712" t="s">
        <v>932</v>
      </c>
      <c r="K712" t="str">
        <f>"na"</f>
        <v>0</v>
      </c>
      <c r="L712">
        <v>1200000</v>
      </c>
      <c r="M712"/>
      <c r="N712" t="s">
        <v>38</v>
      </c>
      <c r="O712" t="s">
        <v>38</v>
      </c>
      <c r="P712" t="s">
        <v>53</v>
      </c>
      <c r="Q712" t="s">
        <v>38</v>
      </c>
      <c r="R712" t="s">
        <v>38</v>
      </c>
      <c r="S712" t="s">
        <v>42</v>
      </c>
      <c r="T712" t="s">
        <v>42</v>
      </c>
      <c r="U712" t="s">
        <v>924</v>
      </c>
      <c r="V712" t="s">
        <v>925</v>
      </c>
      <c r="W712" t="s">
        <v>924</v>
      </c>
      <c r="X712" t="s">
        <v>824</v>
      </c>
      <c r="Y712" t="s">
        <v>926</v>
      </c>
      <c r="Z712" t="s">
        <v>47</v>
      </c>
      <c r="AA712"/>
      <c r="AB712"/>
      <c r="AC712"/>
      <c r="AD712"/>
    </row>
    <row r="713" spans="1:30">
      <c r="A713">
        <v>3110100022</v>
      </c>
      <c r="B713" t="s">
        <v>30</v>
      </c>
      <c r="C713" t="s">
        <v>61</v>
      </c>
      <c r="D713" t="s">
        <v>71</v>
      </c>
      <c r="E713" t="s">
        <v>55</v>
      </c>
      <c r="F713" t="s">
        <v>113</v>
      </c>
      <c r="G713" t="s">
        <v>114</v>
      </c>
      <c r="H713" t="s">
        <v>35</v>
      </c>
      <c r="I713" t="s">
        <v>211</v>
      </c>
      <c r="J713" t="s">
        <v>933</v>
      </c>
      <c r="K713" t="str">
        <f>"na"</f>
        <v>0</v>
      </c>
      <c r="L713">
        <v>70000</v>
      </c>
      <c r="M713"/>
      <c r="N713" t="s">
        <v>38</v>
      </c>
      <c r="O713" t="s">
        <v>38</v>
      </c>
      <c r="P713" t="s">
        <v>53</v>
      </c>
      <c r="Q713" t="s">
        <v>38</v>
      </c>
      <c r="R713" t="s">
        <v>38</v>
      </c>
      <c r="S713" t="s">
        <v>42</v>
      </c>
      <c r="T713" t="s">
        <v>42</v>
      </c>
      <c r="U713" t="s">
        <v>924</v>
      </c>
      <c r="V713" t="s">
        <v>925</v>
      </c>
      <c r="W713" t="s">
        <v>924</v>
      </c>
      <c r="X713" t="s">
        <v>824</v>
      </c>
      <c r="Y713" t="s">
        <v>926</v>
      </c>
      <c r="Z713" t="s">
        <v>47</v>
      </c>
      <c r="AA713"/>
      <c r="AB713"/>
      <c r="AC713"/>
      <c r="AD713"/>
    </row>
    <row r="714" spans="1:30">
      <c r="A714">
        <v>3110100023</v>
      </c>
      <c r="B714" t="s">
        <v>30</v>
      </c>
      <c r="C714" t="s">
        <v>61</v>
      </c>
      <c r="D714" t="s">
        <v>71</v>
      </c>
      <c r="E714" t="s">
        <v>55</v>
      </c>
      <c r="F714" t="s">
        <v>113</v>
      </c>
      <c r="G714" t="s">
        <v>114</v>
      </c>
      <c r="H714" t="s">
        <v>35</v>
      </c>
      <c r="I714" t="s">
        <v>115</v>
      </c>
      <c r="J714" t="s">
        <v>934</v>
      </c>
      <c r="K714" t="str">
        <f>"asg-l1207136"</f>
        <v>0</v>
      </c>
      <c r="L714">
        <v>79420</v>
      </c>
      <c r="M714"/>
      <c r="N714" t="s">
        <v>38</v>
      </c>
      <c r="O714" t="s">
        <v>38</v>
      </c>
      <c r="P714" t="s">
        <v>53</v>
      </c>
      <c r="Q714" t="s">
        <v>38</v>
      </c>
      <c r="R714" t="s">
        <v>38</v>
      </c>
      <c r="S714" t="s">
        <v>42</v>
      </c>
      <c r="T714" t="s">
        <v>42</v>
      </c>
      <c r="U714" t="s">
        <v>924</v>
      </c>
      <c r="V714" t="s">
        <v>925</v>
      </c>
      <c r="W714" t="s">
        <v>924</v>
      </c>
      <c r="X714" t="s">
        <v>824</v>
      </c>
      <c r="Y714" t="s">
        <v>926</v>
      </c>
      <c r="Z714" t="s">
        <v>47</v>
      </c>
      <c r="AA714"/>
      <c r="AB714"/>
      <c r="AC714"/>
      <c r="AD714"/>
    </row>
    <row r="715" spans="1:30">
      <c r="A715">
        <v>3110100024</v>
      </c>
      <c r="B715" t="s">
        <v>30</v>
      </c>
      <c r="C715" t="s">
        <v>61</v>
      </c>
      <c r="D715" t="s">
        <v>71</v>
      </c>
      <c r="E715" t="s">
        <v>55</v>
      </c>
      <c r="F715" t="s">
        <v>147</v>
      </c>
      <c r="G715" t="s">
        <v>360</v>
      </c>
      <c r="H715" t="s">
        <v>35</v>
      </c>
      <c r="I715" t="s">
        <v>420</v>
      </c>
      <c r="J715" t="s">
        <v>935</v>
      </c>
      <c r="K715" t="str">
        <f>"na"</f>
        <v>0</v>
      </c>
      <c r="L715">
        <v>719000</v>
      </c>
      <c r="M715"/>
      <c r="N715" t="s">
        <v>38</v>
      </c>
      <c r="O715" t="s">
        <v>38</v>
      </c>
      <c r="P715" t="s">
        <v>53</v>
      </c>
      <c r="Q715" t="s">
        <v>38</v>
      </c>
      <c r="R715" t="s">
        <v>38</v>
      </c>
      <c r="S715" t="s">
        <v>42</v>
      </c>
      <c r="T715" t="s">
        <v>42</v>
      </c>
      <c r="U715" t="s">
        <v>924</v>
      </c>
      <c r="V715" t="s">
        <v>925</v>
      </c>
      <c r="W715" t="s">
        <v>924</v>
      </c>
      <c r="X715" t="s">
        <v>824</v>
      </c>
      <c r="Y715" t="s">
        <v>926</v>
      </c>
      <c r="Z715" t="s">
        <v>47</v>
      </c>
      <c r="AA715"/>
      <c r="AB715"/>
      <c r="AC715"/>
      <c r="AD715"/>
    </row>
    <row r="716" spans="1:30">
      <c r="A716">
        <v>3110100025</v>
      </c>
      <c r="B716" t="s">
        <v>30</v>
      </c>
      <c r="C716" t="s">
        <v>61</v>
      </c>
      <c r="D716" t="s">
        <v>71</v>
      </c>
      <c r="E716" t="s">
        <v>55</v>
      </c>
      <c r="F716" t="s">
        <v>33</v>
      </c>
      <c r="G716" t="s">
        <v>586</v>
      </c>
      <c r="H716" t="s">
        <v>35</v>
      </c>
      <c r="I716" t="s">
        <v>262</v>
      </c>
      <c r="J716" t="s">
        <v>936</v>
      </c>
      <c r="K716" t="str">
        <f>"2K1401018-BC"</f>
        <v>0</v>
      </c>
      <c r="L716">
        <v>718500</v>
      </c>
      <c r="M716"/>
      <c r="N716" t="s">
        <v>38</v>
      </c>
      <c r="O716" t="s">
        <v>38</v>
      </c>
      <c r="P716" t="s">
        <v>53</v>
      </c>
      <c r="Q716" t="s">
        <v>38</v>
      </c>
      <c r="R716" t="s">
        <v>38</v>
      </c>
      <c r="S716" t="s">
        <v>42</v>
      </c>
      <c r="T716" t="s">
        <v>42</v>
      </c>
      <c r="U716" t="s">
        <v>924</v>
      </c>
      <c r="V716" t="s">
        <v>925</v>
      </c>
      <c r="W716" t="s">
        <v>924</v>
      </c>
      <c r="X716" t="s">
        <v>824</v>
      </c>
      <c r="Y716" t="s">
        <v>926</v>
      </c>
      <c r="Z716" t="s">
        <v>47</v>
      </c>
      <c r="AA716"/>
      <c r="AB716"/>
      <c r="AC716"/>
      <c r="AD716"/>
    </row>
    <row r="717" spans="1:30">
      <c r="A717">
        <v>3110100029</v>
      </c>
      <c r="B717" t="s">
        <v>30</v>
      </c>
      <c r="C717" t="s">
        <v>61</v>
      </c>
      <c r="D717" t="s">
        <v>71</v>
      </c>
      <c r="E717" t="s">
        <v>55</v>
      </c>
      <c r="F717" t="s">
        <v>143</v>
      </c>
      <c r="G717" t="s">
        <v>381</v>
      </c>
      <c r="H717" t="s">
        <v>50</v>
      </c>
      <c r="I717" t="s">
        <v>937</v>
      </c>
      <c r="J717" t="s">
        <v>938</v>
      </c>
      <c r="K717" t="str">
        <f>"11508615"</f>
        <v>0</v>
      </c>
      <c r="L717">
        <v>436017</v>
      </c>
      <c r="M717"/>
      <c r="N717" t="s">
        <v>38</v>
      </c>
      <c r="O717" t="s">
        <v>38</v>
      </c>
      <c r="P717" t="s">
        <v>53</v>
      </c>
      <c r="Q717" t="s">
        <v>38</v>
      </c>
      <c r="R717" t="s">
        <v>38</v>
      </c>
      <c r="S717" t="s">
        <v>42</v>
      </c>
      <c r="T717" t="s">
        <v>42</v>
      </c>
      <c r="U717" t="s">
        <v>924</v>
      </c>
      <c r="V717" t="s">
        <v>925</v>
      </c>
      <c r="W717" t="s">
        <v>924</v>
      </c>
      <c r="X717" t="s">
        <v>824</v>
      </c>
      <c r="Y717" t="s">
        <v>926</v>
      </c>
      <c r="Z717" t="s">
        <v>47</v>
      </c>
      <c r="AA717"/>
      <c r="AB717"/>
      <c r="AC717"/>
      <c r="AD717"/>
    </row>
    <row r="718" spans="1:30">
      <c r="A718">
        <v>3110100030</v>
      </c>
      <c r="B718" t="s">
        <v>30</v>
      </c>
      <c r="C718" t="s">
        <v>61</v>
      </c>
      <c r="D718" t="s">
        <v>71</v>
      </c>
      <c r="E718" t="s">
        <v>55</v>
      </c>
      <c r="F718" t="s">
        <v>94</v>
      </c>
      <c r="G718" t="s">
        <v>95</v>
      </c>
      <c r="H718" t="s">
        <v>35</v>
      </c>
      <c r="I718" t="s">
        <v>82</v>
      </c>
      <c r="J718" t="s">
        <v>59</v>
      </c>
      <c r="K718" t="str">
        <f>"TP1073"</f>
        <v>0</v>
      </c>
      <c r="L718">
        <v>69636</v>
      </c>
      <c r="M718"/>
      <c r="N718" t="s">
        <v>38</v>
      </c>
      <c r="O718" t="s">
        <v>38</v>
      </c>
      <c r="P718" t="s">
        <v>53</v>
      </c>
      <c r="Q718" t="s">
        <v>38</v>
      </c>
      <c r="R718" t="s">
        <v>38</v>
      </c>
      <c r="S718" t="s">
        <v>42</v>
      </c>
      <c r="T718" t="s">
        <v>42</v>
      </c>
      <c r="U718" t="s">
        <v>924</v>
      </c>
      <c r="V718" t="s">
        <v>925</v>
      </c>
      <c r="W718" t="s">
        <v>924</v>
      </c>
      <c r="X718" t="s">
        <v>824</v>
      </c>
      <c r="Y718" t="s">
        <v>926</v>
      </c>
      <c r="Z718" t="s">
        <v>47</v>
      </c>
      <c r="AA718"/>
      <c r="AB718"/>
      <c r="AC718"/>
      <c r="AD718"/>
    </row>
    <row r="719" spans="1:30">
      <c r="A719">
        <v>3110100031</v>
      </c>
      <c r="B719" t="s">
        <v>30</v>
      </c>
      <c r="C719" t="s">
        <v>61</v>
      </c>
      <c r="D719" t="s">
        <v>71</v>
      </c>
      <c r="E719" t="s">
        <v>55</v>
      </c>
      <c r="F719" t="s">
        <v>113</v>
      </c>
      <c r="G719" t="s">
        <v>114</v>
      </c>
      <c r="H719" t="s">
        <v>35</v>
      </c>
      <c r="I719" t="s">
        <v>115</v>
      </c>
      <c r="J719" t="s">
        <v>939</v>
      </c>
      <c r="K719" t="str">
        <f>"asg-l1801656"</f>
        <v>0</v>
      </c>
      <c r="L719">
        <v>79420</v>
      </c>
      <c r="M719"/>
      <c r="N719" t="s">
        <v>38</v>
      </c>
      <c r="O719" t="s">
        <v>38</v>
      </c>
      <c r="P719" t="s">
        <v>53</v>
      </c>
      <c r="Q719" t="s">
        <v>38</v>
      </c>
      <c r="R719" t="s">
        <v>38</v>
      </c>
      <c r="S719" t="s">
        <v>42</v>
      </c>
      <c r="T719" t="s">
        <v>42</v>
      </c>
      <c r="U719" t="s">
        <v>924</v>
      </c>
      <c r="V719" t="s">
        <v>925</v>
      </c>
      <c r="W719" t="s">
        <v>924</v>
      </c>
      <c r="X719" t="s">
        <v>824</v>
      </c>
      <c r="Y719" t="s">
        <v>926</v>
      </c>
      <c r="Z719" t="s">
        <v>47</v>
      </c>
      <c r="AA719"/>
      <c r="AB719"/>
      <c r="AC719"/>
      <c r="AD719"/>
    </row>
    <row r="720" spans="1:30">
      <c r="A720">
        <v>3110100032</v>
      </c>
      <c r="B720" t="s">
        <v>30</v>
      </c>
      <c r="C720" t="s">
        <v>61</v>
      </c>
      <c r="D720" t="s">
        <v>71</v>
      </c>
      <c r="E720" t="s">
        <v>55</v>
      </c>
      <c r="F720" t="s">
        <v>64</v>
      </c>
      <c r="G720" t="s">
        <v>99</v>
      </c>
      <c r="H720" t="s">
        <v>50</v>
      </c>
      <c r="I720" t="s">
        <v>408</v>
      </c>
      <c r="J720" t="s">
        <v>770</v>
      </c>
      <c r="K720" t="str">
        <f>"na"</f>
        <v>0</v>
      </c>
      <c r="L720">
        <v>86400</v>
      </c>
      <c r="M720"/>
      <c r="N720" t="s">
        <v>38</v>
      </c>
      <c r="O720" t="s">
        <v>38</v>
      </c>
      <c r="P720" t="s">
        <v>53</v>
      </c>
      <c r="Q720" t="s">
        <v>38</v>
      </c>
      <c r="R720" t="s">
        <v>38</v>
      </c>
      <c r="S720" t="s">
        <v>42</v>
      </c>
      <c r="T720" t="s">
        <v>42</v>
      </c>
      <c r="U720" t="s">
        <v>924</v>
      </c>
      <c r="V720" t="s">
        <v>925</v>
      </c>
      <c r="W720" t="s">
        <v>924</v>
      </c>
      <c r="X720" t="s">
        <v>824</v>
      </c>
      <c r="Y720" t="s">
        <v>926</v>
      </c>
      <c r="Z720" t="s">
        <v>47</v>
      </c>
      <c r="AA720"/>
      <c r="AB720"/>
      <c r="AC720"/>
      <c r="AD720"/>
    </row>
    <row r="721" spans="1:30">
      <c r="A721">
        <v>3110100033</v>
      </c>
      <c r="B721" t="s">
        <v>30</v>
      </c>
      <c r="C721" t="s">
        <v>61</v>
      </c>
      <c r="D721" t="s">
        <v>71</v>
      </c>
      <c r="E721" t="s">
        <v>55</v>
      </c>
      <c r="F721" t="s">
        <v>166</v>
      </c>
      <c r="G721" t="s">
        <v>167</v>
      </c>
      <c r="H721" t="s">
        <v>35</v>
      </c>
      <c r="I721" t="s">
        <v>311</v>
      </c>
      <c r="J721" t="s">
        <v>487</v>
      </c>
      <c r="K721" t="str">
        <f>"de671g1820"</f>
        <v>0</v>
      </c>
      <c r="L721">
        <v>529100</v>
      </c>
      <c r="M721"/>
      <c r="N721" t="s">
        <v>38</v>
      </c>
      <c r="O721" t="s">
        <v>38</v>
      </c>
      <c r="P721" t="s">
        <v>53</v>
      </c>
      <c r="Q721" t="s">
        <v>38</v>
      </c>
      <c r="R721" t="s">
        <v>38</v>
      </c>
      <c r="S721" t="s">
        <v>42</v>
      </c>
      <c r="T721" t="s">
        <v>42</v>
      </c>
      <c r="U721" t="s">
        <v>924</v>
      </c>
      <c r="V721" t="s">
        <v>925</v>
      </c>
      <c r="W721" t="s">
        <v>924</v>
      </c>
      <c r="X721" t="s">
        <v>824</v>
      </c>
      <c r="Y721" t="s">
        <v>926</v>
      </c>
      <c r="Z721" t="s">
        <v>47</v>
      </c>
      <c r="AA721"/>
      <c r="AB721"/>
      <c r="AC721"/>
      <c r="AD721"/>
    </row>
    <row r="722" spans="1:30">
      <c r="A722">
        <v>3110100036</v>
      </c>
      <c r="B722" t="s">
        <v>30</v>
      </c>
      <c r="C722" t="s">
        <v>61</v>
      </c>
      <c r="D722" t="s">
        <v>71</v>
      </c>
      <c r="E722" t="s">
        <v>55</v>
      </c>
      <c r="F722" t="s">
        <v>147</v>
      </c>
      <c r="G722" t="s">
        <v>360</v>
      </c>
      <c r="H722" t="s">
        <v>35</v>
      </c>
      <c r="I722" t="s">
        <v>420</v>
      </c>
      <c r="J722" t="s">
        <v>935</v>
      </c>
      <c r="K722" t="str">
        <f>"de671g1684"</f>
        <v>0</v>
      </c>
      <c r="L722">
        <v>719000</v>
      </c>
      <c r="M722"/>
      <c r="N722" t="s">
        <v>38</v>
      </c>
      <c r="O722" t="s">
        <v>38</v>
      </c>
      <c r="P722" t="s">
        <v>53</v>
      </c>
      <c r="Q722" t="s">
        <v>38</v>
      </c>
      <c r="R722" t="s">
        <v>38</v>
      </c>
      <c r="S722" t="s">
        <v>42</v>
      </c>
      <c r="T722" t="s">
        <v>42</v>
      </c>
      <c r="U722" t="s">
        <v>924</v>
      </c>
      <c r="V722" t="s">
        <v>925</v>
      </c>
      <c r="W722" t="s">
        <v>924</v>
      </c>
      <c r="X722" t="s">
        <v>824</v>
      </c>
      <c r="Y722" t="s">
        <v>926</v>
      </c>
      <c r="Z722" t="s">
        <v>47</v>
      </c>
      <c r="AA722"/>
      <c r="AB722"/>
      <c r="AC722"/>
      <c r="AD722"/>
    </row>
    <row r="723" spans="1:30">
      <c r="A723">
        <v>3110100042</v>
      </c>
      <c r="B723" t="s">
        <v>30</v>
      </c>
      <c r="C723" t="s">
        <v>61</v>
      </c>
      <c r="D723" t="s">
        <v>71</v>
      </c>
      <c r="E723" t="s">
        <v>79</v>
      </c>
      <c r="F723" t="s">
        <v>143</v>
      </c>
      <c r="G723" t="s">
        <v>377</v>
      </c>
      <c r="H723" t="s">
        <v>50</v>
      </c>
      <c r="I723" t="s">
        <v>747</v>
      </c>
      <c r="J723" t="s">
        <v>777</v>
      </c>
      <c r="K723" t="str">
        <f>"na"</f>
        <v>0</v>
      </c>
      <c r="L723">
        <v>70000</v>
      </c>
      <c r="M723"/>
      <c r="N723" t="s">
        <v>38</v>
      </c>
      <c r="O723" t="s">
        <v>38</v>
      </c>
      <c r="P723" t="s">
        <v>53</v>
      </c>
      <c r="Q723" t="s">
        <v>38</v>
      </c>
      <c r="R723" t="s">
        <v>38</v>
      </c>
      <c r="S723" t="s">
        <v>42</v>
      </c>
      <c r="T723" t="s">
        <v>42</v>
      </c>
      <c r="U723" t="s">
        <v>924</v>
      </c>
      <c r="V723" t="s">
        <v>925</v>
      </c>
      <c r="W723" t="s">
        <v>924</v>
      </c>
      <c r="X723" t="s">
        <v>824</v>
      </c>
      <c r="Y723" t="s">
        <v>926</v>
      </c>
      <c r="Z723" t="s">
        <v>47</v>
      </c>
      <c r="AA723"/>
      <c r="AB723"/>
      <c r="AC723"/>
      <c r="AD723"/>
    </row>
    <row r="724" spans="1:30">
      <c r="A724">
        <v>3110100043</v>
      </c>
      <c r="B724" t="s">
        <v>30</v>
      </c>
      <c r="C724" t="s">
        <v>61</v>
      </c>
      <c r="D724" t="s">
        <v>71</v>
      </c>
      <c r="E724" t="s">
        <v>79</v>
      </c>
      <c r="F724" t="s">
        <v>143</v>
      </c>
      <c r="G724" t="s">
        <v>377</v>
      </c>
      <c r="H724" t="s">
        <v>50</v>
      </c>
      <c r="I724" t="s">
        <v>747</v>
      </c>
      <c r="J724" t="s">
        <v>777</v>
      </c>
      <c r="K724" t="str">
        <f>"na"</f>
        <v>0</v>
      </c>
      <c r="L724">
        <v>70000</v>
      </c>
      <c r="M724"/>
      <c r="N724" t="s">
        <v>38</v>
      </c>
      <c r="O724" t="s">
        <v>38</v>
      </c>
      <c r="P724" t="s">
        <v>53</v>
      </c>
      <c r="Q724" t="s">
        <v>38</v>
      </c>
      <c r="R724" t="s">
        <v>38</v>
      </c>
      <c r="S724" t="s">
        <v>42</v>
      </c>
      <c r="T724" t="s">
        <v>42</v>
      </c>
      <c r="U724" t="s">
        <v>924</v>
      </c>
      <c r="V724" t="s">
        <v>925</v>
      </c>
      <c r="W724" t="s">
        <v>924</v>
      </c>
      <c r="X724" t="s">
        <v>824</v>
      </c>
      <c r="Y724" t="s">
        <v>926</v>
      </c>
      <c r="Z724" t="s">
        <v>47</v>
      </c>
      <c r="AA724"/>
      <c r="AB724"/>
      <c r="AC724"/>
      <c r="AD724"/>
    </row>
    <row r="725" spans="1:30">
      <c r="A725">
        <v>3110100045</v>
      </c>
      <c r="B725" t="s">
        <v>30</v>
      </c>
      <c r="C725" t="s">
        <v>61</v>
      </c>
      <c r="D725" t="s">
        <v>71</v>
      </c>
      <c r="E725" t="s">
        <v>79</v>
      </c>
      <c r="F725" t="s">
        <v>166</v>
      </c>
      <c r="G725" t="s">
        <v>247</v>
      </c>
      <c r="H725" t="s">
        <v>50</v>
      </c>
      <c r="I725" t="s">
        <v>168</v>
      </c>
      <c r="J725" t="s">
        <v>169</v>
      </c>
      <c r="K725" t="str">
        <f>"l19170925066"</f>
        <v>0</v>
      </c>
      <c r="L725">
        <v>34777</v>
      </c>
      <c r="M725"/>
      <c r="N725" t="s">
        <v>38</v>
      </c>
      <c r="O725" t="s">
        <v>38</v>
      </c>
      <c r="P725" t="s">
        <v>53</v>
      </c>
      <c r="Q725" t="s">
        <v>38</v>
      </c>
      <c r="R725" t="s">
        <v>38</v>
      </c>
      <c r="S725" t="s">
        <v>42</v>
      </c>
      <c r="T725" t="s">
        <v>42</v>
      </c>
      <c r="U725" t="s">
        <v>924</v>
      </c>
      <c r="V725" t="s">
        <v>925</v>
      </c>
      <c r="W725" t="s">
        <v>924</v>
      </c>
      <c r="X725" t="s">
        <v>824</v>
      </c>
      <c r="Y725" t="s">
        <v>926</v>
      </c>
      <c r="Z725" t="s">
        <v>47</v>
      </c>
      <c r="AA725"/>
      <c r="AB725"/>
      <c r="AC725"/>
      <c r="AD725"/>
    </row>
    <row r="726" spans="1:30">
      <c r="A726">
        <v>3110100046</v>
      </c>
      <c r="B726" t="s">
        <v>30</v>
      </c>
      <c r="C726" t="s">
        <v>61</v>
      </c>
      <c r="D726" t="s">
        <v>71</v>
      </c>
      <c r="E726" t="s">
        <v>79</v>
      </c>
      <c r="F726" t="s">
        <v>147</v>
      </c>
      <c r="G726" t="s">
        <v>148</v>
      </c>
      <c r="H726" t="s">
        <v>35</v>
      </c>
      <c r="I726" t="s">
        <v>149</v>
      </c>
      <c r="J726" t="s">
        <v>940</v>
      </c>
      <c r="K726" t="str">
        <f>"v301a1911022"</f>
        <v>0</v>
      </c>
      <c r="L726">
        <v>47952</v>
      </c>
      <c r="M726"/>
      <c r="N726" t="s">
        <v>38</v>
      </c>
      <c r="O726" t="s">
        <v>38</v>
      </c>
      <c r="P726" t="s">
        <v>53</v>
      </c>
      <c r="Q726" t="s">
        <v>38</v>
      </c>
      <c r="R726" t="s">
        <v>38</v>
      </c>
      <c r="S726" t="s">
        <v>42</v>
      </c>
      <c r="T726" t="s">
        <v>42</v>
      </c>
      <c r="U726" t="s">
        <v>924</v>
      </c>
      <c r="V726" t="s">
        <v>925</v>
      </c>
      <c r="W726" t="s">
        <v>924</v>
      </c>
      <c r="X726" t="s">
        <v>824</v>
      </c>
      <c r="Y726" t="s">
        <v>926</v>
      </c>
      <c r="Z726" t="s">
        <v>47</v>
      </c>
      <c r="AA726"/>
      <c r="AB726"/>
      <c r="AC726"/>
      <c r="AD726"/>
    </row>
    <row r="727" spans="1:30">
      <c r="A727">
        <v>3110100047</v>
      </c>
      <c r="B727" t="s">
        <v>30</v>
      </c>
      <c r="C727" t="s">
        <v>61</v>
      </c>
      <c r="D727" t="s">
        <v>71</v>
      </c>
      <c r="E727" t="s">
        <v>79</v>
      </c>
      <c r="F727" t="s">
        <v>147</v>
      </c>
      <c r="G727" t="s">
        <v>360</v>
      </c>
      <c r="H727" t="s">
        <v>35</v>
      </c>
      <c r="I727" t="s">
        <v>420</v>
      </c>
      <c r="J727" t="s">
        <v>935</v>
      </c>
      <c r="K727" t="str">
        <f>"na"</f>
        <v>0</v>
      </c>
      <c r="L727">
        <v>719000</v>
      </c>
      <c r="M727"/>
      <c r="N727" t="s">
        <v>38</v>
      </c>
      <c r="O727" t="s">
        <v>38</v>
      </c>
      <c r="P727" t="s">
        <v>53</v>
      </c>
      <c r="Q727" t="s">
        <v>38</v>
      </c>
      <c r="R727" t="s">
        <v>38</v>
      </c>
      <c r="S727" t="s">
        <v>42</v>
      </c>
      <c r="T727" t="s">
        <v>42</v>
      </c>
      <c r="U727" t="s">
        <v>924</v>
      </c>
      <c r="V727" t="s">
        <v>925</v>
      </c>
      <c r="W727" t="s">
        <v>924</v>
      </c>
      <c r="X727" t="s">
        <v>824</v>
      </c>
      <c r="Y727" t="s">
        <v>926</v>
      </c>
      <c r="Z727" t="s">
        <v>47</v>
      </c>
      <c r="AA727"/>
      <c r="AB727"/>
      <c r="AC727"/>
      <c r="AD727"/>
    </row>
    <row r="728" spans="1:30">
      <c r="A728">
        <v>3110100048</v>
      </c>
      <c r="B728" t="s">
        <v>30</v>
      </c>
      <c r="C728" t="s">
        <v>61</v>
      </c>
      <c r="D728" t="s">
        <v>71</v>
      </c>
      <c r="E728" t="s">
        <v>79</v>
      </c>
      <c r="F728" t="s">
        <v>64</v>
      </c>
      <c r="G728" t="s">
        <v>99</v>
      </c>
      <c r="H728" t="s">
        <v>50</v>
      </c>
      <c r="I728" t="s">
        <v>375</v>
      </c>
      <c r="J728" t="s">
        <v>59</v>
      </c>
      <c r="K728" t="str">
        <f>"na"</f>
        <v>0</v>
      </c>
      <c r="L728">
        <v>36000</v>
      </c>
      <c r="M728"/>
      <c r="N728" t="s">
        <v>38</v>
      </c>
      <c r="O728" t="s">
        <v>38</v>
      </c>
      <c r="P728" t="s">
        <v>53</v>
      </c>
      <c r="Q728" t="s">
        <v>38</v>
      </c>
      <c r="R728" t="s">
        <v>38</v>
      </c>
      <c r="S728" t="s">
        <v>42</v>
      </c>
      <c r="T728" t="s">
        <v>42</v>
      </c>
      <c r="U728" t="s">
        <v>924</v>
      </c>
      <c r="V728" t="s">
        <v>925</v>
      </c>
      <c r="W728" t="s">
        <v>924</v>
      </c>
      <c r="X728" t="s">
        <v>824</v>
      </c>
      <c r="Y728" t="s">
        <v>926</v>
      </c>
      <c r="Z728" t="s">
        <v>47</v>
      </c>
      <c r="AA728"/>
      <c r="AB728"/>
      <c r="AC728"/>
      <c r="AD728"/>
    </row>
    <row r="729" spans="1:30">
      <c r="A729">
        <v>3110100051</v>
      </c>
      <c r="B729" t="s">
        <v>30</v>
      </c>
      <c r="C729" t="s">
        <v>61</v>
      </c>
      <c r="D729" t="s">
        <v>71</v>
      </c>
      <c r="E729" t="s">
        <v>79</v>
      </c>
      <c r="F729" t="s">
        <v>143</v>
      </c>
      <c r="G729" t="s">
        <v>377</v>
      </c>
      <c r="H729" t="s">
        <v>50</v>
      </c>
      <c r="I729" t="s">
        <v>375</v>
      </c>
      <c r="J729" t="s">
        <v>59</v>
      </c>
      <c r="K729" t="str">
        <f>"na"</f>
        <v>0</v>
      </c>
      <c r="L729">
        <v>30000</v>
      </c>
      <c r="M729"/>
      <c r="N729" t="s">
        <v>38</v>
      </c>
      <c r="O729" t="s">
        <v>38</v>
      </c>
      <c r="P729" t="s">
        <v>53</v>
      </c>
      <c r="Q729" t="s">
        <v>38</v>
      </c>
      <c r="R729" t="s">
        <v>38</v>
      </c>
      <c r="S729" t="s">
        <v>42</v>
      </c>
      <c r="T729" t="s">
        <v>42</v>
      </c>
      <c r="U729" t="s">
        <v>924</v>
      </c>
      <c r="V729" t="s">
        <v>925</v>
      </c>
      <c r="W729" t="s">
        <v>924</v>
      </c>
      <c r="X729" t="s">
        <v>824</v>
      </c>
      <c r="Y729" t="s">
        <v>926</v>
      </c>
      <c r="Z729" t="s">
        <v>47</v>
      </c>
      <c r="AA729"/>
      <c r="AB729"/>
      <c r="AC729"/>
      <c r="AD729"/>
    </row>
    <row r="730" spans="1:30">
      <c r="A730">
        <v>3110100052</v>
      </c>
      <c r="B730" t="s">
        <v>30</v>
      </c>
      <c r="C730" t="s">
        <v>61</v>
      </c>
      <c r="D730" t="s">
        <v>71</v>
      </c>
      <c r="E730" t="s">
        <v>79</v>
      </c>
      <c r="F730" t="s">
        <v>143</v>
      </c>
      <c r="G730" t="s">
        <v>377</v>
      </c>
      <c r="H730" t="s">
        <v>50</v>
      </c>
      <c r="I730" t="s">
        <v>375</v>
      </c>
      <c r="J730" t="s">
        <v>59</v>
      </c>
      <c r="K730" t="str">
        <f>"na"</f>
        <v>0</v>
      </c>
      <c r="L730">
        <v>30000</v>
      </c>
      <c r="M730"/>
      <c r="N730" t="s">
        <v>38</v>
      </c>
      <c r="O730" t="s">
        <v>38</v>
      </c>
      <c r="P730" t="s">
        <v>53</v>
      </c>
      <c r="Q730" t="s">
        <v>38</v>
      </c>
      <c r="R730" t="s">
        <v>38</v>
      </c>
      <c r="S730" t="s">
        <v>42</v>
      </c>
      <c r="T730" t="s">
        <v>42</v>
      </c>
      <c r="U730" t="s">
        <v>924</v>
      </c>
      <c r="V730" t="s">
        <v>925</v>
      </c>
      <c r="W730" t="s">
        <v>924</v>
      </c>
      <c r="X730" t="s">
        <v>824</v>
      </c>
      <c r="Y730" t="s">
        <v>926</v>
      </c>
      <c r="Z730" t="s">
        <v>47</v>
      </c>
      <c r="AA730"/>
      <c r="AB730"/>
      <c r="AC730"/>
      <c r="AD730"/>
    </row>
    <row r="731" spans="1:30">
      <c r="A731">
        <v>3110100053</v>
      </c>
      <c r="B731" t="s">
        <v>30</v>
      </c>
      <c r="C731" t="s">
        <v>61</v>
      </c>
      <c r="D731" t="s">
        <v>71</v>
      </c>
      <c r="E731" t="s">
        <v>79</v>
      </c>
      <c r="F731" t="s">
        <v>143</v>
      </c>
      <c r="G731" t="s">
        <v>377</v>
      </c>
      <c r="H731" t="s">
        <v>50</v>
      </c>
      <c r="I731" t="s">
        <v>375</v>
      </c>
      <c r="J731" t="s">
        <v>59</v>
      </c>
      <c r="K731" t="str">
        <f>"na"</f>
        <v>0</v>
      </c>
      <c r="L731">
        <v>30000</v>
      </c>
      <c r="M731"/>
      <c r="N731" t="s">
        <v>38</v>
      </c>
      <c r="O731" t="s">
        <v>38</v>
      </c>
      <c r="P731" t="s">
        <v>53</v>
      </c>
      <c r="Q731" t="s">
        <v>38</v>
      </c>
      <c r="R731" t="s">
        <v>38</v>
      </c>
      <c r="S731" t="s">
        <v>42</v>
      </c>
      <c r="T731" t="s">
        <v>42</v>
      </c>
      <c r="U731" t="s">
        <v>924</v>
      </c>
      <c r="V731" t="s">
        <v>925</v>
      </c>
      <c r="W731" t="s">
        <v>924</v>
      </c>
      <c r="X731" t="s">
        <v>824</v>
      </c>
      <c r="Y731" t="s">
        <v>926</v>
      </c>
      <c r="Z731" t="s">
        <v>47</v>
      </c>
      <c r="AA731"/>
      <c r="AB731"/>
      <c r="AC731"/>
      <c r="AD731"/>
    </row>
    <row r="732" spans="1:30">
      <c r="A732">
        <v>3110100054</v>
      </c>
      <c r="B732" t="s">
        <v>30</v>
      </c>
      <c r="C732" t="s">
        <v>61</v>
      </c>
      <c r="D732" t="s">
        <v>71</v>
      </c>
      <c r="E732" t="s">
        <v>79</v>
      </c>
      <c r="F732" t="s">
        <v>64</v>
      </c>
      <c r="G732" t="s">
        <v>99</v>
      </c>
      <c r="H732" t="s">
        <v>50</v>
      </c>
      <c r="I732" t="s">
        <v>408</v>
      </c>
      <c r="J732" t="s">
        <v>770</v>
      </c>
      <c r="K732" t="str">
        <f>"na"</f>
        <v>0</v>
      </c>
      <c r="L732">
        <v>86400</v>
      </c>
      <c r="M732"/>
      <c r="N732" t="s">
        <v>38</v>
      </c>
      <c r="O732" t="s">
        <v>38</v>
      </c>
      <c r="P732" t="s">
        <v>53</v>
      </c>
      <c r="Q732" t="s">
        <v>38</v>
      </c>
      <c r="R732" t="s">
        <v>38</v>
      </c>
      <c r="S732" t="s">
        <v>42</v>
      </c>
      <c r="T732" t="s">
        <v>42</v>
      </c>
      <c r="U732" t="s">
        <v>924</v>
      </c>
      <c r="V732" t="s">
        <v>925</v>
      </c>
      <c r="W732" t="s">
        <v>924</v>
      </c>
      <c r="X732" t="s">
        <v>824</v>
      </c>
      <c r="Y732" t="s">
        <v>926</v>
      </c>
      <c r="Z732" t="s">
        <v>47</v>
      </c>
      <c r="AA732"/>
      <c r="AB732"/>
      <c r="AC732"/>
      <c r="AD732"/>
    </row>
    <row r="733" spans="1:30">
      <c r="A733">
        <v>3110100055</v>
      </c>
      <c r="B733" t="s">
        <v>30</v>
      </c>
      <c r="C733" t="s">
        <v>61</v>
      </c>
      <c r="D733" t="s">
        <v>71</v>
      </c>
      <c r="E733" t="s">
        <v>79</v>
      </c>
      <c r="F733" t="s">
        <v>64</v>
      </c>
      <c r="G733" t="s">
        <v>99</v>
      </c>
      <c r="H733" t="s">
        <v>50</v>
      </c>
      <c r="I733" t="s">
        <v>408</v>
      </c>
      <c r="J733" t="s">
        <v>770</v>
      </c>
      <c r="K733" t="str">
        <f>"na"</f>
        <v>0</v>
      </c>
      <c r="L733">
        <v>86400</v>
      </c>
      <c r="M733"/>
      <c r="N733" t="s">
        <v>38</v>
      </c>
      <c r="O733" t="s">
        <v>38</v>
      </c>
      <c r="P733" t="s">
        <v>53</v>
      </c>
      <c r="Q733" t="s">
        <v>38</v>
      </c>
      <c r="R733" t="s">
        <v>38</v>
      </c>
      <c r="S733" t="s">
        <v>42</v>
      </c>
      <c r="T733" t="s">
        <v>42</v>
      </c>
      <c r="U733" t="s">
        <v>924</v>
      </c>
      <c r="V733" t="s">
        <v>925</v>
      </c>
      <c r="W733" t="s">
        <v>924</v>
      </c>
      <c r="X733" t="s">
        <v>824</v>
      </c>
      <c r="Y733" t="s">
        <v>926</v>
      </c>
      <c r="Z733" t="s">
        <v>47</v>
      </c>
      <c r="AA733"/>
      <c r="AB733"/>
      <c r="AC733"/>
      <c r="AD733"/>
    </row>
    <row r="734" spans="1:30">
      <c r="A734">
        <v>3110100056</v>
      </c>
      <c r="B734" t="s">
        <v>30</v>
      </c>
      <c r="C734" t="s">
        <v>61</v>
      </c>
      <c r="D734" t="s">
        <v>71</v>
      </c>
      <c r="E734" t="s">
        <v>79</v>
      </c>
      <c r="F734" t="s">
        <v>64</v>
      </c>
      <c r="G734" t="s">
        <v>99</v>
      </c>
      <c r="H734" t="s">
        <v>50</v>
      </c>
      <c r="I734" t="s">
        <v>408</v>
      </c>
      <c r="J734" t="s">
        <v>770</v>
      </c>
      <c r="K734" t="str">
        <f>"na"</f>
        <v>0</v>
      </c>
      <c r="L734">
        <v>30300</v>
      </c>
      <c r="M734"/>
      <c r="N734" t="s">
        <v>38</v>
      </c>
      <c r="O734" t="s">
        <v>38</v>
      </c>
      <c r="P734" t="s">
        <v>53</v>
      </c>
      <c r="Q734" t="s">
        <v>38</v>
      </c>
      <c r="R734" t="s">
        <v>38</v>
      </c>
      <c r="S734" t="s">
        <v>42</v>
      </c>
      <c r="T734" t="s">
        <v>42</v>
      </c>
      <c r="U734" t="s">
        <v>924</v>
      </c>
      <c r="V734" t="s">
        <v>925</v>
      </c>
      <c r="W734" t="s">
        <v>924</v>
      </c>
      <c r="X734" t="s">
        <v>824</v>
      </c>
      <c r="Y734" t="s">
        <v>926</v>
      </c>
      <c r="Z734" t="s">
        <v>47</v>
      </c>
      <c r="AA734"/>
      <c r="AB734"/>
      <c r="AC734"/>
      <c r="AD734"/>
    </row>
    <row r="735" spans="1:30">
      <c r="A735">
        <v>3110100057</v>
      </c>
      <c r="B735" t="s">
        <v>30</v>
      </c>
      <c r="C735" t="s">
        <v>61</v>
      </c>
      <c r="D735" t="s">
        <v>71</v>
      </c>
      <c r="E735" t="s">
        <v>79</v>
      </c>
      <c r="F735" t="s">
        <v>64</v>
      </c>
      <c r="G735" t="s">
        <v>99</v>
      </c>
      <c r="H735" t="s">
        <v>50</v>
      </c>
      <c r="I735" t="s">
        <v>408</v>
      </c>
      <c r="J735" t="s">
        <v>770</v>
      </c>
      <c r="K735" t="str">
        <f>"na"</f>
        <v>0</v>
      </c>
      <c r="L735">
        <v>86400</v>
      </c>
      <c r="M735"/>
      <c r="N735" t="s">
        <v>38</v>
      </c>
      <c r="O735" t="s">
        <v>38</v>
      </c>
      <c r="P735" t="s">
        <v>53</v>
      </c>
      <c r="Q735" t="s">
        <v>38</v>
      </c>
      <c r="R735" t="s">
        <v>38</v>
      </c>
      <c r="S735" t="s">
        <v>42</v>
      </c>
      <c r="T735" t="s">
        <v>42</v>
      </c>
      <c r="U735" t="s">
        <v>924</v>
      </c>
      <c r="V735" t="s">
        <v>925</v>
      </c>
      <c r="W735" t="s">
        <v>924</v>
      </c>
      <c r="X735" t="s">
        <v>824</v>
      </c>
      <c r="Y735" t="s">
        <v>926</v>
      </c>
      <c r="Z735" t="s">
        <v>47</v>
      </c>
      <c r="AA735"/>
      <c r="AB735"/>
      <c r="AC735"/>
      <c r="AD735"/>
    </row>
    <row r="736" spans="1:30">
      <c r="A736">
        <v>3110100058</v>
      </c>
      <c r="B736" t="s">
        <v>30</v>
      </c>
      <c r="C736" t="s">
        <v>61</v>
      </c>
      <c r="D736" t="s">
        <v>71</v>
      </c>
      <c r="E736" t="s">
        <v>79</v>
      </c>
      <c r="F736" t="s">
        <v>64</v>
      </c>
      <c r="G736" t="s">
        <v>99</v>
      </c>
      <c r="H736" t="s">
        <v>50</v>
      </c>
      <c r="I736" t="s">
        <v>408</v>
      </c>
      <c r="J736" t="s">
        <v>770</v>
      </c>
      <c r="K736" t="str">
        <f>"na"</f>
        <v>0</v>
      </c>
      <c r="L736">
        <v>86400</v>
      </c>
      <c r="M736"/>
      <c r="N736" t="s">
        <v>38</v>
      </c>
      <c r="O736" t="s">
        <v>38</v>
      </c>
      <c r="P736" t="s">
        <v>53</v>
      </c>
      <c r="Q736" t="s">
        <v>38</v>
      </c>
      <c r="R736" t="s">
        <v>38</v>
      </c>
      <c r="S736" t="s">
        <v>42</v>
      </c>
      <c r="T736" t="s">
        <v>42</v>
      </c>
      <c r="U736" t="s">
        <v>924</v>
      </c>
      <c r="V736" t="s">
        <v>925</v>
      </c>
      <c r="W736" t="s">
        <v>924</v>
      </c>
      <c r="X736" t="s">
        <v>824</v>
      </c>
      <c r="Y736" t="s">
        <v>926</v>
      </c>
      <c r="Z736" t="s">
        <v>47</v>
      </c>
      <c r="AA736"/>
      <c r="AB736"/>
      <c r="AC736"/>
      <c r="AD736"/>
    </row>
    <row r="737" spans="1:30">
      <c r="A737">
        <v>3110100060</v>
      </c>
      <c r="B737" t="s">
        <v>30</v>
      </c>
      <c r="C737" t="s">
        <v>61</v>
      </c>
      <c r="D737" t="s">
        <v>71</v>
      </c>
      <c r="E737" t="s">
        <v>79</v>
      </c>
      <c r="F737" t="s">
        <v>387</v>
      </c>
      <c r="G737" t="s">
        <v>388</v>
      </c>
      <c r="H737" t="s">
        <v>50</v>
      </c>
      <c r="I737" t="s">
        <v>941</v>
      </c>
      <c r="J737" t="s">
        <v>59</v>
      </c>
      <c r="K737" t="str">
        <f>"000111"</f>
        <v>0</v>
      </c>
      <c r="L737">
        <v>137800</v>
      </c>
      <c r="M737"/>
      <c r="N737" t="s">
        <v>38</v>
      </c>
      <c r="O737" t="s">
        <v>38</v>
      </c>
      <c r="P737" t="s">
        <v>53</v>
      </c>
      <c r="Q737" t="s">
        <v>38</v>
      </c>
      <c r="R737" t="s">
        <v>38</v>
      </c>
      <c r="S737" t="s">
        <v>42</v>
      </c>
      <c r="T737" t="s">
        <v>42</v>
      </c>
      <c r="U737" t="s">
        <v>924</v>
      </c>
      <c r="V737" t="s">
        <v>925</v>
      </c>
      <c r="W737" t="s">
        <v>924</v>
      </c>
      <c r="X737" t="s">
        <v>824</v>
      </c>
      <c r="Y737" t="s">
        <v>926</v>
      </c>
      <c r="Z737" t="s">
        <v>47</v>
      </c>
      <c r="AA737"/>
      <c r="AB737"/>
      <c r="AC737"/>
      <c r="AD737"/>
    </row>
    <row r="738" spans="1:30">
      <c r="A738">
        <v>3110100062</v>
      </c>
      <c r="B738" t="s">
        <v>30</v>
      </c>
      <c r="C738" t="s">
        <v>61</v>
      </c>
      <c r="D738" t="s">
        <v>71</v>
      </c>
      <c r="E738" t="s">
        <v>79</v>
      </c>
      <c r="F738" t="s">
        <v>147</v>
      </c>
      <c r="G738" t="s">
        <v>148</v>
      </c>
      <c r="H738" t="s">
        <v>35</v>
      </c>
      <c r="I738" t="s">
        <v>149</v>
      </c>
      <c r="J738" t="s">
        <v>904</v>
      </c>
      <c r="K738" t="str">
        <f>"na"</f>
        <v>0</v>
      </c>
      <c r="L738">
        <v>47952</v>
      </c>
      <c r="M738"/>
      <c r="N738" t="s">
        <v>38</v>
      </c>
      <c r="O738" t="s">
        <v>38</v>
      </c>
      <c r="P738" t="s">
        <v>53</v>
      </c>
      <c r="Q738" t="s">
        <v>38</v>
      </c>
      <c r="R738" t="s">
        <v>38</v>
      </c>
      <c r="S738" t="s">
        <v>42</v>
      </c>
      <c r="T738" t="s">
        <v>42</v>
      </c>
      <c r="U738" t="s">
        <v>924</v>
      </c>
      <c r="V738" t="s">
        <v>925</v>
      </c>
      <c r="W738" t="s">
        <v>924</v>
      </c>
      <c r="X738" t="s">
        <v>824</v>
      </c>
      <c r="Y738" t="s">
        <v>926</v>
      </c>
      <c r="Z738" t="s">
        <v>47</v>
      </c>
      <c r="AA738"/>
      <c r="AB738"/>
      <c r="AC738"/>
      <c r="AD738"/>
    </row>
    <row r="739" spans="1:30">
      <c r="A739">
        <v>3110100063</v>
      </c>
      <c r="B739" t="s">
        <v>30</v>
      </c>
      <c r="C739" t="s">
        <v>61</v>
      </c>
      <c r="D739" t="s">
        <v>71</v>
      </c>
      <c r="E739" t="s">
        <v>118</v>
      </c>
      <c r="F739" t="s">
        <v>48</v>
      </c>
      <c r="G739" t="s">
        <v>119</v>
      </c>
      <c r="H739" t="s">
        <v>50</v>
      </c>
      <c r="I739" t="s">
        <v>695</v>
      </c>
      <c r="J739" t="s">
        <v>755</v>
      </c>
      <c r="K739" t="str">
        <f>"2620268"</f>
        <v>0</v>
      </c>
      <c r="L739">
        <v>120000</v>
      </c>
      <c r="M739"/>
      <c r="N739" t="s">
        <v>38</v>
      </c>
      <c r="O739" t="s">
        <v>38</v>
      </c>
      <c r="P739" t="s">
        <v>53</v>
      </c>
      <c r="Q739" t="s">
        <v>38</v>
      </c>
      <c r="R739" t="s">
        <v>38</v>
      </c>
      <c r="S739" t="s">
        <v>42</v>
      </c>
      <c r="T739" t="s">
        <v>42</v>
      </c>
      <c r="U739" t="s">
        <v>924</v>
      </c>
      <c r="V739" t="s">
        <v>636</v>
      </c>
      <c r="W739" t="s">
        <v>924</v>
      </c>
      <c r="X739" t="s">
        <v>824</v>
      </c>
      <c r="Y739" t="s">
        <v>926</v>
      </c>
      <c r="Z739" t="s">
        <v>47</v>
      </c>
      <c r="AA739"/>
      <c r="AB739"/>
      <c r="AC739"/>
      <c r="AD739" t="s">
        <v>638</v>
      </c>
    </row>
    <row r="740" spans="1:30">
      <c r="A740">
        <v>3110100065</v>
      </c>
      <c r="B740" t="s">
        <v>30</v>
      </c>
      <c r="C740" t="s">
        <v>61</v>
      </c>
      <c r="D740" t="s">
        <v>71</v>
      </c>
      <c r="E740" t="s">
        <v>79</v>
      </c>
      <c r="F740" t="s">
        <v>118</v>
      </c>
      <c r="G740" t="s">
        <v>172</v>
      </c>
      <c r="H740" t="s">
        <v>50</v>
      </c>
      <c r="I740" t="s">
        <v>650</v>
      </c>
      <c r="J740" t="s">
        <v>942</v>
      </c>
      <c r="K740" t="str">
        <f>"na"</f>
        <v>0</v>
      </c>
      <c r="L740">
        <v>90000</v>
      </c>
      <c r="M740"/>
      <c r="N740" t="s">
        <v>38</v>
      </c>
      <c r="O740" t="s">
        <v>38</v>
      </c>
      <c r="P740" t="s">
        <v>53</v>
      </c>
      <c r="Q740" t="s">
        <v>38</v>
      </c>
      <c r="R740" t="s">
        <v>38</v>
      </c>
      <c r="S740" t="s">
        <v>42</v>
      </c>
      <c r="T740" t="s">
        <v>42</v>
      </c>
      <c r="U740" t="s">
        <v>924</v>
      </c>
      <c r="V740" t="s">
        <v>925</v>
      </c>
      <c r="W740" t="s">
        <v>924</v>
      </c>
      <c r="X740" t="s">
        <v>824</v>
      </c>
      <c r="Y740" t="s">
        <v>926</v>
      </c>
      <c r="Z740" t="s">
        <v>47</v>
      </c>
      <c r="AA740"/>
      <c r="AB740"/>
      <c r="AC740"/>
      <c r="AD740"/>
    </row>
    <row r="741" spans="1:30">
      <c r="A741">
        <v>3110100066</v>
      </c>
      <c r="B741" t="s">
        <v>30</v>
      </c>
      <c r="C741" t="s">
        <v>61</v>
      </c>
      <c r="D741" t="s">
        <v>71</v>
      </c>
      <c r="E741" t="s">
        <v>118</v>
      </c>
      <c r="F741" t="s">
        <v>48</v>
      </c>
      <c r="G741" t="s">
        <v>274</v>
      </c>
      <c r="H741" t="s">
        <v>50</v>
      </c>
      <c r="I741" t="s">
        <v>695</v>
      </c>
      <c r="J741" t="s">
        <v>943</v>
      </c>
      <c r="K741" t="str">
        <f>"76010866"</f>
        <v>0</v>
      </c>
      <c r="L741">
        <v>130000</v>
      </c>
      <c r="M741"/>
      <c r="N741" t="s">
        <v>38</v>
      </c>
      <c r="O741" t="s">
        <v>38</v>
      </c>
      <c r="P741" t="s">
        <v>53</v>
      </c>
      <c r="Q741" t="s">
        <v>38</v>
      </c>
      <c r="R741" t="s">
        <v>38</v>
      </c>
      <c r="S741" t="s">
        <v>42</v>
      </c>
      <c r="T741" t="s">
        <v>42</v>
      </c>
      <c r="U741" t="s">
        <v>924</v>
      </c>
      <c r="V741" t="s">
        <v>636</v>
      </c>
      <c r="W741" t="s">
        <v>924</v>
      </c>
      <c r="X741" t="s">
        <v>824</v>
      </c>
      <c r="Y741" t="s">
        <v>926</v>
      </c>
      <c r="Z741" t="s">
        <v>47</v>
      </c>
      <c r="AA741"/>
      <c r="AB741"/>
      <c r="AC741"/>
      <c r="AD741" t="s">
        <v>638</v>
      </c>
    </row>
    <row r="742" spans="1:30">
      <c r="A742">
        <v>3110100067</v>
      </c>
      <c r="B742" t="s">
        <v>30</v>
      </c>
      <c r="C742" t="s">
        <v>61</v>
      </c>
      <c r="D742" t="s">
        <v>71</v>
      </c>
      <c r="E742" t="s">
        <v>118</v>
      </c>
      <c r="F742" t="s">
        <v>118</v>
      </c>
      <c r="G742" t="s">
        <v>657</v>
      </c>
      <c r="H742" t="s">
        <v>35</v>
      </c>
      <c r="I742" t="s">
        <v>258</v>
      </c>
      <c r="J742" t="s">
        <v>944</v>
      </c>
      <c r="K742" t="str">
        <f>"NA"</f>
        <v>0</v>
      </c>
      <c r="L742">
        <v>290000</v>
      </c>
      <c r="M742"/>
      <c r="N742" t="s">
        <v>38</v>
      </c>
      <c r="O742" t="s">
        <v>38</v>
      </c>
      <c r="P742" t="s">
        <v>53</v>
      </c>
      <c r="Q742" t="s">
        <v>38</v>
      </c>
      <c r="R742" t="s">
        <v>38</v>
      </c>
      <c r="S742" t="s">
        <v>42</v>
      </c>
      <c r="T742" t="s">
        <v>42</v>
      </c>
      <c r="U742" t="s">
        <v>924</v>
      </c>
      <c r="V742" t="s">
        <v>636</v>
      </c>
      <c r="W742" t="s">
        <v>924</v>
      </c>
      <c r="X742" t="s">
        <v>824</v>
      </c>
      <c r="Y742" t="s">
        <v>926</v>
      </c>
      <c r="Z742" t="s">
        <v>47</v>
      </c>
      <c r="AA742"/>
      <c r="AB742"/>
      <c r="AC742"/>
      <c r="AD742" t="s">
        <v>638</v>
      </c>
    </row>
    <row r="743" spans="1:30">
      <c r="A743">
        <v>3110100068</v>
      </c>
      <c r="B743" t="s">
        <v>30</v>
      </c>
      <c r="C743" t="s">
        <v>61</v>
      </c>
      <c r="D743" t="s">
        <v>71</v>
      </c>
      <c r="E743" t="s">
        <v>118</v>
      </c>
      <c r="F743" t="s">
        <v>118</v>
      </c>
      <c r="G743" t="s">
        <v>657</v>
      </c>
      <c r="H743" t="s">
        <v>35</v>
      </c>
      <c r="I743" t="s">
        <v>258</v>
      </c>
      <c r="J743" t="s">
        <v>944</v>
      </c>
      <c r="K743" t="str">
        <f>"NA"</f>
        <v>0</v>
      </c>
      <c r="L743">
        <v>290000</v>
      </c>
      <c r="M743"/>
      <c r="N743" t="s">
        <v>38</v>
      </c>
      <c r="O743" t="s">
        <v>38</v>
      </c>
      <c r="P743" t="s">
        <v>53</v>
      </c>
      <c r="Q743" t="s">
        <v>38</v>
      </c>
      <c r="R743" t="s">
        <v>38</v>
      </c>
      <c r="S743" t="s">
        <v>42</v>
      </c>
      <c r="T743" t="s">
        <v>42</v>
      </c>
      <c r="U743" t="s">
        <v>924</v>
      </c>
      <c r="V743" t="s">
        <v>636</v>
      </c>
      <c r="W743" t="s">
        <v>924</v>
      </c>
      <c r="X743" t="s">
        <v>824</v>
      </c>
      <c r="Y743" t="s">
        <v>926</v>
      </c>
      <c r="Z743" t="s">
        <v>47</v>
      </c>
      <c r="AA743"/>
      <c r="AB743"/>
      <c r="AC743"/>
      <c r="AD743" t="s">
        <v>638</v>
      </c>
    </row>
    <row r="744" spans="1:30">
      <c r="A744">
        <v>3110100069</v>
      </c>
      <c r="B744" t="s">
        <v>30</v>
      </c>
      <c r="C744" t="s">
        <v>61</v>
      </c>
      <c r="D744" t="s">
        <v>71</v>
      </c>
      <c r="E744" t="s">
        <v>118</v>
      </c>
      <c r="F744" t="s">
        <v>48</v>
      </c>
      <c r="G744" t="s">
        <v>158</v>
      </c>
      <c r="H744" t="s">
        <v>50</v>
      </c>
      <c r="I744" t="s">
        <v>945</v>
      </c>
      <c r="J744" t="s">
        <v>946</v>
      </c>
      <c r="K744" t="str">
        <f>"WF 0A106484"</f>
        <v>0</v>
      </c>
      <c r="L744">
        <v>241000</v>
      </c>
      <c r="M744"/>
      <c r="N744" t="s">
        <v>38</v>
      </c>
      <c r="O744" t="s">
        <v>38</v>
      </c>
      <c r="P744" t="s">
        <v>53</v>
      </c>
      <c r="Q744" t="s">
        <v>38</v>
      </c>
      <c r="R744" t="s">
        <v>38</v>
      </c>
      <c r="S744" t="s">
        <v>42</v>
      </c>
      <c r="T744" t="s">
        <v>42</v>
      </c>
      <c r="U744" t="s">
        <v>924</v>
      </c>
      <c r="V744" t="s">
        <v>636</v>
      </c>
      <c r="W744" t="s">
        <v>924</v>
      </c>
      <c r="X744" t="s">
        <v>824</v>
      </c>
      <c r="Y744" t="s">
        <v>926</v>
      </c>
      <c r="Z744" t="s">
        <v>47</v>
      </c>
      <c r="AA744"/>
      <c r="AB744"/>
      <c r="AC744"/>
      <c r="AD744" t="s">
        <v>638</v>
      </c>
    </row>
    <row r="745" spans="1:30">
      <c r="A745">
        <v>3110100070</v>
      </c>
      <c r="B745" t="s">
        <v>30</v>
      </c>
      <c r="C745" t="s">
        <v>61</v>
      </c>
      <c r="D745" t="s">
        <v>71</v>
      </c>
      <c r="E745" t="s">
        <v>118</v>
      </c>
      <c r="F745" t="s">
        <v>48</v>
      </c>
      <c r="G745" t="s">
        <v>158</v>
      </c>
      <c r="H745" t="s">
        <v>50</v>
      </c>
      <c r="I745" t="s">
        <v>621</v>
      </c>
      <c r="J745" t="s">
        <v>726</v>
      </c>
      <c r="K745" t="str">
        <f>"160614"</f>
        <v>0</v>
      </c>
      <c r="L745">
        <v>246225</v>
      </c>
      <c r="M745"/>
      <c r="N745" t="s">
        <v>38</v>
      </c>
      <c r="O745" t="s">
        <v>38</v>
      </c>
      <c r="P745" t="s">
        <v>53</v>
      </c>
      <c r="Q745" t="s">
        <v>38</v>
      </c>
      <c r="R745" t="s">
        <v>38</v>
      </c>
      <c r="S745" t="s">
        <v>42</v>
      </c>
      <c r="T745" t="s">
        <v>42</v>
      </c>
      <c r="U745" t="s">
        <v>924</v>
      </c>
      <c r="V745" t="s">
        <v>925</v>
      </c>
      <c r="W745" t="s">
        <v>924</v>
      </c>
      <c r="X745" t="s">
        <v>824</v>
      </c>
      <c r="Y745" t="s">
        <v>926</v>
      </c>
      <c r="Z745" t="s">
        <v>47</v>
      </c>
      <c r="AA745"/>
      <c r="AB745"/>
      <c r="AC745"/>
      <c r="AD745"/>
    </row>
    <row r="746" spans="1:30">
      <c r="A746">
        <v>3110100071</v>
      </c>
      <c r="B746" t="s">
        <v>30</v>
      </c>
      <c r="C746" t="s">
        <v>61</v>
      </c>
      <c r="D746" t="s">
        <v>71</v>
      </c>
      <c r="E746" t="s">
        <v>118</v>
      </c>
      <c r="F746" t="s">
        <v>48</v>
      </c>
      <c r="G746" t="s">
        <v>203</v>
      </c>
      <c r="H746" t="s">
        <v>50</v>
      </c>
      <c r="I746" t="s">
        <v>173</v>
      </c>
      <c r="J746" t="s">
        <v>947</v>
      </c>
      <c r="K746" t="str">
        <f>"ZFJN33374"</f>
        <v>0</v>
      </c>
      <c r="L746">
        <v>36125</v>
      </c>
      <c r="M746"/>
      <c r="N746" t="s">
        <v>38</v>
      </c>
      <c r="O746" t="s">
        <v>38</v>
      </c>
      <c r="P746" t="s">
        <v>53</v>
      </c>
      <c r="Q746" t="s">
        <v>38</v>
      </c>
      <c r="R746" t="s">
        <v>38</v>
      </c>
      <c r="S746" t="s">
        <v>42</v>
      </c>
      <c r="T746" t="s">
        <v>42</v>
      </c>
      <c r="U746" t="s">
        <v>924</v>
      </c>
      <c r="V746" t="s">
        <v>636</v>
      </c>
      <c r="W746" t="s">
        <v>924</v>
      </c>
      <c r="X746" t="s">
        <v>824</v>
      </c>
      <c r="Y746" t="s">
        <v>926</v>
      </c>
      <c r="Z746" t="s">
        <v>47</v>
      </c>
      <c r="AA746"/>
      <c r="AB746"/>
      <c r="AC746"/>
      <c r="AD746" t="s">
        <v>638</v>
      </c>
    </row>
    <row r="747" spans="1:30">
      <c r="A747">
        <v>3110100073</v>
      </c>
      <c r="B747" t="s">
        <v>30</v>
      </c>
      <c r="C747" t="s">
        <v>61</v>
      </c>
      <c r="D747" t="s">
        <v>71</v>
      </c>
      <c r="E747" t="s">
        <v>118</v>
      </c>
      <c r="F747" t="s">
        <v>118</v>
      </c>
      <c r="G747" t="s">
        <v>657</v>
      </c>
      <c r="H747" t="s">
        <v>35</v>
      </c>
      <c r="I747" t="s">
        <v>173</v>
      </c>
      <c r="J747" t="s">
        <v>948</v>
      </c>
      <c r="K747" t="str">
        <f>"Na"</f>
        <v>0</v>
      </c>
      <c r="L747">
        <v>200000</v>
      </c>
      <c r="M747"/>
      <c r="N747" t="s">
        <v>38</v>
      </c>
      <c r="O747" t="s">
        <v>38</v>
      </c>
      <c r="P747" t="s">
        <v>53</v>
      </c>
      <c r="Q747" t="s">
        <v>38</v>
      </c>
      <c r="R747" t="s">
        <v>38</v>
      </c>
      <c r="S747" t="s">
        <v>42</v>
      </c>
      <c r="T747" t="s">
        <v>42</v>
      </c>
      <c r="U747" t="s">
        <v>924</v>
      </c>
      <c r="V747" t="s">
        <v>636</v>
      </c>
      <c r="W747" t="s">
        <v>924</v>
      </c>
      <c r="X747" t="s">
        <v>824</v>
      </c>
      <c r="Y747" t="s">
        <v>926</v>
      </c>
      <c r="Z747" t="s">
        <v>47</v>
      </c>
      <c r="AA747"/>
      <c r="AB747"/>
      <c r="AC747"/>
      <c r="AD747" t="s">
        <v>638</v>
      </c>
    </row>
    <row r="748" spans="1:30">
      <c r="A748">
        <v>3110100072</v>
      </c>
      <c r="B748" t="s">
        <v>30</v>
      </c>
      <c r="C748" t="s">
        <v>61</v>
      </c>
      <c r="D748" t="s">
        <v>71</v>
      </c>
      <c r="E748" t="s">
        <v>118</v>
      </c>
      <c r="F748" t="s">
        <v>48</v>
      </c>
      <c r="G748" t="s">
        <v>530</v>
      </c>
      <c r="H748" t="s">
        <v>50</v>
      </c>
      <c r="I748" t="s">
        <v>375</v>
      </c>
      <c r="J748" t="s">
        <v>949</v>
      </c>
      <c r="K748" t="str">
        <f>"n/a"</f>
        <v>0</v>
      </c>
      <c r="L748">
        <v>48000</v>
      </c>
      <c r="M748"/>
      <c r="N748" t="s">
        <v>38</v>
      </c>
      <c r="O748" t="s">
        <v>38</v>
      </c>
      <c r="P748" t="s">
        <v>53</v>
      </c>
      <c r="Q748" t="s">
        <v>38</v>
      </c>
      <c r="R748" t="s">
        <v>38</v>
      </c>
      <c r="S748" t="s">
        <v>42</v>
      </c>
      <c r="T748" t="s">
        <v>42</v>
      </c>
      <c r="U748" t="s">
        <v>924</v>
      </c>
      <c r="V748" t="s">
        <v>925</v>
      </c>
      <c r="W748" t="s">
        <v>924</v>
      </c>
      <c r="X748" t="s">
        <v>824</v>
      </c>
      <c r="Y748" t="s">
        <v>926</v>
      </c>
      <c r="Z748" t="s">
        <v>47</v>
      </c>
      <c r="AA748"/>
      <c r="AB748"/>
      <c r="AC748"/>
      <c r="AD748"/>
    </row>
    <row r="749" spans="1:30">
      <c r="A749">
        <v>3110100074</v>
      </c>
      <c r="B749" t="s">
        <v>30</v>
      </c>
      <c r="C749" t="s">
        <v>61</v>
      </c>
      <c r="D749" t="s">
        <v>71</v>
      </c>
      <c r="E749" t="s">
        <v>118</v>
      </c>
      <c r="F749" t="s">
        <v>48</v>
      </c>
      <c r="G749" t="s">
        <v>453</v>
      </c>
      <c r="H749" t="s">
        <v>50</v>
      </c>
      <c r="I749" t="s">
        <v>454</v>
      </c>
      <c r="J749" t="s">
        <v>315</v>
      </c>
      <c r="K749" t="str">
        <f>"NA"</f>
        <v>0</v>
      </c>
      <c r="L749">
        <v>27991</v>
      </c>
      <c r="M749"/>
      <c r="N749" t="s">
        <v>38</v>
      </c>
      <c r="O749" t="s">
        <v>38</v>
      </c>
      <c r="P749" t="s">
        <v>53</v>
      </c>
      <c r="Q749" t="s">
        <v>38</v>
      </c>
      <c r="R749" t="s">
        <v>38</v>
      </c>
      <c r="S749" t="s">
        <v>42</v>
      </c>
      <c r="T749" t="s">
        <v>42</v>
      </c>
      <c r="U749" t="s">
        <v>924</v>
      </c>
      <c r="V749" t="s">
        <v>636</v>
      </c>
      <c r="W749" t="s">
        <v>924</v>
      </c>
      <c r="X749" t="s">
        <v>824</v>
      </c>
      <c r="Y749" t="s">
        <v>926</v>
      </c>
      <c r="Z749" t="s">
        <v>47</v>
      </c>
      <c r="AA749"/>
      <c r="AB749"/>
      <c r="AC749"/>
      <c r="AD749" t="s">
        <v>638</v>
      </c>
    </row>
    <row r="750" spans="1:30">
      <c r="A750">
        <v>3110100075</v>
      </c>
      <c r="B750" t="s">
        <v>30</v>
      </c>
      <c r="C750" t="s">
        <v>61</v>
      </c>
      <c r="D750" t="s">
        <v>71</v>
      </c>
      <c r="E750" t="s">
        <v>118</v>
      </c>
      <c r="F750" t="s">
        <v>118</v>
      </c>
      <c r="G750" t="s">
        <v>657</v>
      </c>
      <c r="H750" t="s">
        <v>35</v>
      </c>
      <c r="I750" t="s">
        <v>650</v>
      </c>
      <c r="J750" t="s">
        <v>950</v>
      </c>
      <c r="K750" t="str">
        <f>"201607531"</f>
        <v>0</v>
      </c>
      <c r="L750">
        <v>265781</v>
      </c>
      <c r="M750"/>
      <c r="N750" t="s">
        <v>38</v>
      </c>
      <c r="O750" t="s">
        <v>38</v>
      </c>
      <c r="P750" t="s">
        <v>53</v>
      </c>
      <c r="Q750" t="s">
        <v>38</v>
      </c>
      <c r="R750" t="s">
        <v>38</v>
      </c>
      <c r="S750" t="s">
        <v>42</v>
      </c>
      <c r="T750" t="s">
        <v>42</v>
      </c>
      <c r="U750" t="s">
        <v>924</v>
      </c>
      <c r="V750" t="s">
        <v>636</v>
      </c>
      <c r="W750" t="s">
        <v>924</v>
      </c>
      <c r="X750" t="s">
        <v>824</v>
      </c>
      <c r="Y750" t="s">
        <v>926</v>
      </c>
      <c r="Z750" t="s">
        <v>47</v>
      </c>
      <c r="AA750"/>
      <c r="AB750"/>
      <c r="AC750"/>
      <c r="AD750" t="s">
        <v>638</v>
      </c>
    </row>
    <row r="751" spans="1:30">
      <c r="A751">
        <v>3110100076</v>
      </c>
      <c r="B751" t="s">
        <v>30</v>
      </c>
      <c r="C751" t="s">
        <v>61</v>
      </c>
      <c r="D751" t="s">
        <v>71</v>
      </c>
      <c r="E751" t="s">
        <v>118</v>
      </c>
      <c r="F751" t="s">
        <v>48</v>
      </c>
      <c r="G751" t="s">
        <v>657</v>
      </c>
      <c r="H751" t="s">
        <v>35</v>
      </c>
      <c r="I751" t="s">
        <v>825</v>
      </c>
      <c r="J751" t="s">
        <v>951</v>
      </c>
      <c r="K751" t="str">
        <f>"dr95-ro55"</f>
        <v>0</v>
      </c>
      <c r="L751">
        <v>290000</v>
      </c>
      <c r="M751"/>
      <c r="N751" t="s">
        <v>38</v>
      </c>
      <c r="O751" t="s">
        <v>38</v>
      </c>
      <c r="P751" t="s">
        <v>53</v>
      </c>
      <c r="Q751" t="s">
        <v>38</v>
      </c>
      <c r="R751" t="s">
        <v>38</v>
      </c>
      <c r="S751" t="s">
        <v>266</v>
      </c>
      <c r="T751" t="s">
        <v>266</v>
      </c>
      <c r="U751" t="s">
        <v>924</v>
      </c>
      <c r="V751" t="s">
        <v>925</v>
      </c>
      <c r="W751" t="s">
        <v>924</v>
      </c>
      <c r="X751" t="s">
        <v>824</v>
      </c>
      <c r="Y751" t="s">
        <v>926</v>
      </c>
      <c r="Z751" t="s">
        <v>70</v>
      </c>
      <c r="AA751"/>
      <c r="AB751"/>
      <c r="AC751"/>
      <c r="AD751"/>
    </row>
    <row r="752" spans="1:30">
      <c r="A752">
        <v>3110100077</v>
      </c>
      <c r="B752" t="s">
        <v>30</v>
      </c>
      <c r="C752" t="s">
        <v>61</v>
      </c>
      <c r="D752" t="s">
        <v>71</v>
      </c>
      <c r="E752" t="s">
        <v>118</v>
      </c>
      <c r="F752" t="s">
        <v>48</v>
      </c>
      <c r="G752" t="s">
        <v>334</v>
      </c>
      <c r="H752" t="s">
        <v>35</v>
      </c>
      <c r="I752" t="s">
        <v>688</v>
      </c>
      <c r="J752" t="s">
        <v>952</v>
      </c>
      <c r="K752" t="str">
        <f>"NA"</f>
        <v>0</v>
      </c>
      <c r="L752">
        <v>370000</v>
      </c>
      <c r="M752"/>
      <c r="N752" t="s">
        <v>38</v>
      </c>
      <c r="O752" t="s">
        <v>38</v>
      </c>
      <c r="P752" t="s">
        <v>53</v>
      </c>
      <c r="Q752" t="s">
        <v>38</v>
      </c>
      <c r="R752" t="s">
        <v>38</v>
      </c>
      <c r="S752" t="s">
        <v>42</v>
      </c>
      <c r="T752" t="s">
        <v>42</v>
      </c>
      <c r="U752" t="s">
        <v>924</v>
      </c>
      <c r="V752" t="s">
        <v>636</v>
      </c>
      <c r="W752" t="s">
        <v>924</v>
      </c>
      <c r="X752" t="s">
        <v>824</v>
      </c>
      <c r="Y752" t="s">
        <v>926</v>
      </c>
      <c r="Z752" t="s">
        <v>47</v>
      </c>
      <c r="AA752"/>
      <c r="AB752"/>
      <c r="AC752"/>
      <c r="AD752" t="s">
        <v>638</v>
      </c>
    </row>
    <row r="753" spans="1:30">
      <c r="A753">
        <v>3110100078</v>
      </c>
      <c r="B753" t="s">
        <v>30</v>
      </c>
      <c r="C753" t="s">
        <v>61</v>
      </c>
      <c r="D753" t="s">
        <v>71</v>
      </c>
      <c r="E753" t="s">
        <v>118</v>
      </c>
      <c r="F753" t="s">
        <v>64</v>
      </c>
      <c r="G753" t="s">
        <v>641</v>
      </c>
      <c r="H753" t="s">
        <v>50</v>
      </c>
      <c r="I753" t="s">
        <v>173</v>
      </c>
      <c r="J753" t="s">
        <v>642</v>
      </c>
      <c r="K753" t="str">
        <f>"ZDHS20969"</f>
        <v>0</v>
      </c>
      <c r="L753">
        <v>147807</v>
      </c>
      <c r="M753"/>
      <c r="N753" t="s">
        <v>38</v>
      </c>
      <c r="O753" t="s">
        <v>38</v>
      </c>
      <c r="P753" t="s">
        <v>53</v>
      </c>
      <c r="Q753" t="s">
        <v>38</v>
      </c>
      <c r="R753" t="s">
        <v>38</v>
      </c>
      <c r="S753" t="s">
        <v>42</v>
      </c>
      <c r="T753" t="s">
        <v>42</v>
      </c>
      <c r="U753" t="s">
        <v>924</v>
      </c>
      <c r="V753" t="s">
        <v>636</v>
      </c>
      <c r="W753" t="s">
        <v>924</v>
      </c>
      <c r="X753" t="s">
        <v>824</v>
      </c>
      <c r="Y753" t="s">
        <v>926</v>
      </c>
      <c r="Z753" t="s">
        <v>47</v>
      </c>
      <c r="AA753"/>
      <c r="AB753"/>
      <c r="AC753"/>
      <c r="AD753" t="s">
        <v>638</v>
      </c>
    </row>
    <row r="754" spans="1:30">
      <c r="A754">
        <v>3110100080</v>
      </c>
      <c r="B754" t="s">
        <v>30</v>
      </c>
      <c r="C754" t="s">
        <v>61</v>
      </c>
      <c r="D754" t="s">
        <v>71</v>
      </c>
      <c r="E754" t="s">
        <v>118</v>
      </c>
      <c r="F754" t="s">
        <v>118</v>
      </c>
      <c r="G754" t="s">
        <v>332</v>
      </c>
      <c r="H754" t="s">
        <v>35</v>
      </c>
      <c r="I754" t="s">
        <v>650</v>
      </c>
      <c r="J754" t="s">
        <v>953</v>
      </c>
      <c r="K754" t="str">
        <f>"201607523"</f>
        <v>0</v>
      </c>
      <c r="L754">
        <v>336656</v>
      </c>
      <c r="M754"/>
      <c r="N754" t="s">
        <v>38</v>
      </c>
      <c r="O754" t="s">
        <v>38</v>
      </c>
      <c r="P754" t="s">
        <v>53</v>
      </c>
      <c r="Q754" t="s">
        <v>38</v>
      </c>
      <c r="R754" t="s">
        <v>38</v>
      </c>
      <c r="S754" t="s">
        <v>42</v>
      </c>
      <c r="T754" t="s">
        <v>42</v>
      </c>
      <c r="U754" t="s">
        <v>924</v>
      </c>
      <c r="V754" t="s">
        <v>636</v>
      </c>
      <c r="W754" t="s">
        <v>924</v>
      </c>
      <c r="X754" t="s">
        <v>824</v>
      </c>
      <c r="Y754" t="s">
        <v>926</v>
      </c>
      <c r="Z754" t="s">
        <v>47</v>
      </c>
      <c r="AA754"/>
      <c r="AB754"/>
      <c r="AC754"/>
      <c r="AD754" t="s">
        <v>638</v>
      </c>
    </row>
    <row r="755" spans="1:30">
      <c r="A755">
        <v>3110100079</v>
      </c>
      <c r="B755" t="s">
        <v>30</v>
      </c>
      <c r="C755" t="s">
        <v>61</v>
      </c>
      <c r="D755" t="s">
        <v>71</v>
      </c>
      <c r="E755" t="s">
        <v>118</v>
      </c>
      <c r="F755" t="s">
        <v>48</v>
      </c>
      <c r="G755" t="s">
        <v>305</v>
      </c>
      <c r="H755" t="s">
        <v>50</v>
      </c>
      <c r="I755" t="s">
        <v>173</v>
      </c>
      <c r="J755" t="s">
        <v>954</v>
      </c>
      <c r="K755" t="str">
        <f>"zceu-15868"</f>
        <v>0</v>
      </c>
      <c r="L755">
        <v>1375000</v>
      </c>
      <c r="M755"/>
      <c r="N755" t="s">
        <v>38</v>
      </c>
      <c r="O755" t="s">
        <v>38</v>
      </c>
      <c r="P755" t="s">
        <v>53</v>
      </c>
      <c r="Q755" t="s">
        <v>38</v>
      </c>
      <c r="R755" t="s">
        <v>38</v>
      </c>
      <c r="S755" t="s">
        <v>42</v>
      </c>
      <c r="T755" t="s">
        <v>42</v>
      </c>
      <c r="U755" t="s">
        <v>924</v>
      </c>
      <c r="V755" t="s">
        <v>925</v>
      </c>
      <c r="W755" t="s">
        <v>924</v>
      </c>
      <c r="X755" t="s">
        <v>824</v>
      </c>
      <c r="Y755" t="s">
        <v>926</v>
      </c>
      <c r="Z755" t="s">
        <v>47</v>
      </c>
      <c r="AA755"/>
      <c r="AB755"/>
      <c r="AC755"/>
      <c r="AD755"/>
    </row>
    <row r="756" spans="1:30">
      <c r="A756">
        <v>3110100081</v>
      </c>
      <c r="B756" t="s">
        <v>30</v>
      </c>
      <c r="C756" t="s">
        <v>61</v>
      </c>
      <c r="D756" t="s">
        <v>71</v>
      </c>
      <c r="E756" t="s">
        <v>118</v>
      </c>
      <c r="F756" t="s">
        <v>118</v>
      </c>
      <c r="G756" t="s">
        <v>330</v>
      </c>
      <c r="H756" t="s">
        <v>35</v>
      </c>
      <c r="I756" t="s">
        <v>173</v>
      </c>
      <c r="J756" t="s">
        <v>955</v>
      </c>
      <c r="K756" t="str">
        <f>"ZEFD18882"</f>
        <v>0</v>
      </c>
      <c r="L756">
        <v>440000</v>
      </c>
      <c r="M756"/>
      <c r="N756" t="s">
        <v>38</v>
      </c>
      <c r="O756" t="s">
        <v>38</v>
      </c>
      <c r="P756" t="s">
        <v>53</v>
      </c>
      <c r="Q756" t="s">
        <v>38</v>
      </c>
      <c r="R756" t="s">
        <v>38</v>
      </c>
      <c r="S756" t="s">
        <v>42</v>
      </c>
      <c r="T756" t="s">
        <v>42</v>
      </c>
      <c r="U756" t="s">
        <v>924</v>
      </c>
      <c r="V756" t="s">
        <v>636</v>
      </c>
      <c r="W756" t="s">
        <v>924</v>
      </c>
      <c r="X756" t="s">
        <v>824</v>
      </c>
      <c r="Y756" t="s">
        <v>926</v>
      </c>
      <c r="Z756" t="s">
        <v>47</v>
      </c>
      <c r="AA756"/>
      <c r="AB756"/>
      <c r="AC756"/>
      <c r="AD756" t="s">
        <v>638</v>
      </c>
    </row>
    <row r="757" spans="1:30">
      <c r="A757">
        <v>3110100083</v>
      </c>
      <c r="B757" t="s">
        <v>30</v>
      </c>
      <c r="C757" t="s">
        <v>61</v>
      </c>
      <c r="D757" t="s">
        <v>71</v>
      </c>
      <c r="E757" t="s">
        <v>118</v>
      </c>
      <c r="F757" t="s">
        <v>48</v>
      </c>
      <c r="G757" t="s">
        <v>274</v>
      </c>
      <c r="H757" t="s">
        <v>50</v>
      </c>
      <c r="I757" t="s">
        <v>173</v>
      </c>
      <c r="J757" t="s">
        <v>315</v>
      </c>
      <c r="K757" t="str">
        <f>"NA"</f>
        <v>0</v>
      </c>
      <c r="L757">
        <v>102000</v>
      </c>
      <c r="M757"/>
      <c r="N757" t="s">
        <v>38</v>
      </c>
      <c r="O757" t="s">
        <v>38</v>
      </c>
      <c r="P757" t="s">
        <v>53</v>
      </c>
      <c r="Q757" t="s">
        <v>38</v>
      </c>
      <c r="R757" t="s">
        <v>38</v>
      </c>
      <c r="S757" t="s">
        <v>42</v>
      </c>
      <c r="T757" t="s">
        <v>42</v>
      </c>
      <c r="U757" t="s">
        <v>924</v>
      </c>
      <c r="V757" t="s">
        <v>636</v>
      </c>
      <c r="W757" t="s">
        <v>924</v>
      </c>
      <c r="X757" t="s">
        <v>824</v>
      </c>
      <c r="Y757" t="s">
        <v>926</v>
      </c>
      <c r="Z757" t="s">
        <v>47</v>
      </c>
      <c r="AA757"/>
      <c r="AB757"/>
      <c r="AC757"/>
      <c r="AD757" t="s">
        <v>638</v>
      </c>
    </row>
    <row r="758" spans="1:30">
      <c r="A758">
        <v>3110100084</v>
      </c>
      <c r="B758" t="s">
        <v>30</v>
      </c>
      <c r="C758" t="s">
        <v>61</v>
      </c>
      <c r="D758" t="s">
        <v>71</v>
      </c>
      <c r="E758" t="s">
        <v>118</v>
      </c>
      <c r="F758" t="s">
        <v>48</v>
      </c>
      <c r="G758" t="s">
        <v>756</v>
      </c>
      <c r="H758" t="s">
        <v>50</v>
      </c>
      <c r="I758" t="s">
        <v>650</v>
      </c>
      <c r="J758" t="s">
        <v>956</v>
      </c>
      <c r="K758" t="str">
        <f>"NA"</f>
        <v>0</v>
      </c>
      <c r="L758">
        <v>888300</v>
      </c>
      <c r="M758"/>
      <c r="N758" t="s">
        <v>38</v>
      </c>
      <c r="O758" t="s">
        <v>38</v>
      </c>
      <c r="P758" t="s">
        <v>53</v>
      </c>
      <c r="Q758" t="s">
        <v>38</v>
      </c>
      <c r="R758" t="s">
        <v>38</v>
      </c>
      <c r="S758" t="s">
        <v>42</v>
      </c>
      <c r="T758" t="s">
        <v>42</v>
      </c>
      <c r="U758" t="s">
        <v>924</v>
      </c>
      <c r="V758" t="s">
        <v>636</v>
      </c>
      <c r="W758" t="s">
        <v>924</v>
      </c>
      <c r="X758" t="s">
        <v>824</v>
      </c>
      <c r="Y758" t="s">
        <v>926</v>
      </c>
      <c r="Z758" t="s">
        <v>47</v>
      </c>
      <c r="AA758"/>
      <c r="AB758"/>
      <c r="AC758"/>
      <c r="AD758" t="s">
        <v>638</v>
      </c>
    </row>
    <row r="759" spans="1:30">
      <c r="A759">
        <v>3110100082</v>
      </c>
      <c r="B759" t="s">
        <v>30</v>
      </c>
      <c r="C759" t="s">
        <v>61</v>
      </c>
      <c r="D759" t="s">
        <v>71</v>
      </c>
      <c r="E759" t="s">
        <v>118</v>
      </c>
      <c r="F759" t="s">
        <v>48</v>
      </c>
      <c r="G759" t="s">
        <v>639</v>
      </c>
      <c r="H759" t="s">
        <v>50</v>
      </c>
      <c r="I759" t="s">
        <v>957</v>
      </c>
      <c r="J759" t="s">
        <v>958</v>
      </c>
      <c r="K759" t="str">
        <f>"n/a"</f>
        <v>0</v>
      </c>
      <c r="L759">
        <v>178925</v>
      </c>
      <c r="M759"/>
      <c r="N759" t="s">
        <v>38</v>
      </c>
      <c r="O759" t="s">
        <v>38</v>
      </c>
      <c r="P759" t="s">
        <v>53</v>
      </c>
      <c r="Q759" t="s">
        <v>38</v>
      </c>
      <c r="R759" t="s">
        <v>38</v>
      </c>
      <c r="S759" t="s">
        <v>42</v>
      </c>
      <c r="T759" t="s">
        <v>42</v>
      </c>
      <c r="U759" t="s">
        <v>924</v>
      </c>
      <c r="V759" t="s">
        <v>925</v>
      </c>
      <c r="W759" t="s">
        <v>924</v>
      </c>
      <c r="X759" t="s">
        <v>824</v>
      </c>
      <c r="Y759" t="s">
        <v>926</v>
      </c>
      <c r="Z759" t="s">
        <v>47</v>
      </c>
      <c r="AA759"/>
      <c r="AB759"/>
      <c r="AC759"/>
      <c r="AD759"/>
    </row>
    <row r="760" spans="1:30">
      <c r="A760">
        <v>3110100085</v>
      </c>
      <c r="B760" t="s">
        <v>30</v>
      </c>
      <c r="C760" t="s">
        <v>61</v>
      </c>
      <c r="D760" t="s">
        <v>71</v>
      </c>
      <c r="E760" t="s">
        <v>118</v>
      </c>
      <c r="F760" t="s">
        <v>64</v>
      </c>
      <c r="G760" t="s">
        <v>648</v>
      </c>
      <c r="H760" t="s">
        <v>50</v>
      </c>
      <c r="I760" t="s">
        <v>173</v>
      </c>
      <c r="J760" t="s">
        <v>959</v>
      </c>
      <c r="K760" t="str">
        <f>"sv-6775"</f>
        <v>0</v>
      </c>
      <c r="L760">
        <v>109978</v>
      </c>
      <c r="M760"/>
      <c r="N760" t="s">
        <v>38</v>
      </c>
      <c r="O760" t="s">
        <v>38</v>
      </c>
      <c r="P760" t="s">
        <v>53</v>
      </c>
      <c r="Q760" t="s">
        <v>38</v>
      </c>
      <c r="R760" t="s">
        <v>38</v>
      </c>
      <c r="S760" t="s">
        <v>42</v>
      </c>
      <c r="T760" t="s">
        <v>42</v>
      </c>
      <c r="U760" t="s">
        <v>924</v>
      </c>
      <c r="V760" t="s">
        <v>925</v>
      </c>
      <c r="W760" t="s">
        <v>924</v>
      </c>
      <c r="X760" t="s">
        <v>824</v>
      </c>
      <c r="Y760" t="s">
        <v>926</v>
      </c>
      <c r="Z760" t="s">
        <v>47</v>
      </c>
      <c r="AA760"/>
      <c r="AB760"/>
      <c r="AC760"/>
      <c r="AD760"/>
    </row>
    <row r="761" spans="1:30">
      <c r="A761">
        <v>3110100087</v>
      </c>
      <c r="B761" t="s">
        <v>30</v>
      </c>
      <c r="C761" t="s">
        <v>61</v>
      </c>
      <c r="D761" t="s">
        <v>71</v>
      </c>
      <c r="E761" t="s">
        <v>118</v>
      </c>
      <c r="F761" t="s">
        <v>48</v>
      </c>
      <c r="G761" t="s">
        <v>203</v>
      </c>
      <c r="H761" t="s">
        <v>50</v>
      </c>
      <c r="I761" t="s">
        <v>173</v>
      </c>
      <c r="J761" t="s">
        <v>947</v>
      </c>
      <c r="K761" t="str">
        <f>"ZEJN33375"</f>
        <v>0</v>
      </c>
      <c r="L761">
        <v>36125</v>
      </c>
      <c r="M761"/>
      <c r="N761" t="s">
        <v>38</v>
      </c>
      <c r="O761" t="s">
        <v>38</v>
      </c>
      <c r="P761" t="s">
        <v>53</v>
      </c>
      <c r="Q761" t="s">
        <v>38</v>
      </c>
      <c r="R761" t="s">
        <v>38</v>
      </c>
      <c r="S761" t="s">
        <v>42</v>
      </c>
      <c r="T761" t="s">
        <v>42</v>
      </c>
      <c r="U761" t="s">
        <v>924</v>
      </c>
      <c r="V761" t="s">
        <v>636</v>
      </c>
      <c r="W761" t="s">
        <v>924</v>
      </c>
      <c r="X761" t="s">
        <v>824</v>
      </c>
      <c r="Y761" t="s">
        <v>926</v>
      </c>
      <c r="Z761" t="s">
        <v>47</v>
      </c>
      <c r="AA761"/>
      <c r="AB761"/>
      <c r="AC761"/>
      <c r="AD761" t="s">
        <v>638</v>
      </c>
    </row>
    <row r="762" spans="1:30">
      <c r="A762">
        <v>3110100089</v>
      </c>
      <c r="B762" t="s">
        <v>30</v>
      </c>
      <c r="C762" t="s">
        <v>61</v>
      </c>
      <c r="D762" t="s">
        <v>71</v>
      </c>
      <c r="E762" t="s">
        <v>72</v>
      </c>
      <c r="F762" t="s">
        <v>147</v>
      </c>
      <c r="G762" t="s">
        <v>148</v>
      </c>
      <c r="H762" t="s">
        <v>35</v>
      </c>
      <c r="I762" t="s">
        <v>149</v>
      </c>
      <c r="J762" t="s">
        <v>906</v>
      </c>
      <c r="K762" t="str">
        <f>"V301A1911031"</f>
        <v>0</v>
      </c>
      <c r="L762">
        <v>47952</v>
      </c>
      <c r="M762"/>
      <c r="N762" t="s">
        <v>38</v>
      </c>
      <c r="O762" t="s">
        <v>38</v>
      </c>
      <c r="P762" t="s">
        <v>53</v>
      </c>
      <c r="Q762" t="s">
        <v>38</v>
      </c>
      <c r="R762" t="s">
        <v>38</v>
      </c>
      <c r="S762" t="s">
        <v>42</v>
      </c>
      <c r="T762" t="s">
        <v>42</v>
      </c>
      <c r="U762" t="s">
        <v>924</v>
      </c>
      <c r="V762" t="s">
        <v>636</v>
      </c>
      <c r="W762" t="s">
        <v>924</v>
      </c>
      <c r="X762" t="s">
        <v>824</v>
      </c>
      <c r="Y762" t="s">
        <v>926</v>
      </c>
      <c r="Z762" t="s">
        <v>47</v>
      </c>
      <c r="AA762"/>
      <c r="AB762"/>
      <c r="AC762"/>
      <c r="AD762" t="s">
        <v>638</v>
      </c>
    </row>
    <row r="763" spans="1:30">
      <c r="A763">
        <v>3110100090</v>
      </c>
      <c r="B763" t="s">
        <v>30</v>
      </c>
      <c r="C763" t="s">
        <v>61</v>
      </c>
      <c r="D763" t="s">
        <v>71</v>
      </c>
      <c r="E763" t="s">
        <v>72</v>
      </c>
      <c r="F763" t="s">
        <v>166</v>
      </c>
      <c r="G763" t="s">
        <v>167</v>
      </c>
      <c r="H763" t="s">
        <v>35</v>
      </c>
      <c r="I763" t="s">
        <v>168</v>
      </c>
      <c r="J763" t="s">
        <v>960</v>
      </c>
      <c r="K763" t="str">
        <f>"l19170925069"</f>
        <v>0</v>
      </c>
      <c r="L763">
        <v>65000</v>
      </c>
      <c r="M763"/>
      <c r="N763" t="s">
        <v>38</v>
      </c>
      <c r="O763" t="s">
        <v>38</v>
      </c>
      <c r="P763" t="s">
        <v>53</v>
      </c>
      <c r="Q763" t="s">
        <v>38</v>
      </c>
      <c r="R763" t="s">
        <v>38</v>
      </c>
      <c r="S763" t="s">
        <v>42</v>
      </c>
      <c r="T763" t="s">
        <v>42</v>
      </c>
      <c r="U763" t="s">
        <v>924</v>
      </c>
      <c r="V763" t="s">
        <v>925</v>
      </c>
      <c r="W763" t="s">
        <v>924</v>
      </c>
      <c r="X763" t="s">
        <v>824</v>
      </c>
      <c r="Y763" t="s">
        <v>926</v>
      </c>
      <c r="Z763" t="s">
        <v>47</v>
      </c>
      <c r="AA763"/>
      <c r="AB763"/>
      <c r="AC763"/>
      <c r="AD763"/>
    </row>
    <row r="764" spans="1:30">
      <c r="A764">
        <v>3110100091</v>
      </c>
      <c r="B764" t="s">
        <v>30</v>
      </c>
      <c r="C764" t="s">
        <v>61</v>
      </c>
      <c r="D764" t="s">
        <v>71</v>
      </c>
      <c r="E764" t="s">
        <v>72</v>
      </c>
      <c r="F764" t="s">
        <v>147</v>
      </c>
      <c r="G764" t="s">
        <v>360</v>
      </c>
      <c r="H764" t="s">
        <v>35</v>
      </c>
      <c r="I764" t="s">
        <v>420</v>
      </c>
      <c r="J764" t="s">
        <v>961</v>
      </c>
      <c r="K764" t="str">
        <f>"48421367"</f>
        <v>0</v>
      </c>
      <c r="L764">
        <v>719000</v>
      </c>
      <c r="M764"/>
      <c r="N764" t="s">
        <v>38</v>
      </c>
      <c r="O764" t="s">
        <v>38</v>
      </c>
      <c r="P764" t="s">
        <v>53</v>
      </c>
      <c r="Q764" t="s">
        <v>38</v>
      </c>
      <c r="R764" t="s">
        <v>38</v>
      </c>
      <c r="S764" t="s">
        <v>42</v>
      </c>
      <c r="T764" t="s">
        <v>42</v>
      </c>
      <c r="U764" t="s">
        <v>924</v>
      </c>
      <c r="V764" t="s">
        <v>636</v>
      </c>
      <c r="W764" t="s">
        <v>924</v>
      </c>
      <c r="X764" t="s">
        <v>824</v>
      </c>
      <c r="Y764" t="s">
        <v>926</v>
      </c>
      <c r="Z764" t="s">
        <v>47</v>
      </c>
      <c r="AA764"/>
      <c r="AB764"/>
      <c r="AC764"/>
      <c r="AD764" t="s">
        <v>638</v>
      </c>
    </row>
    <row r="765" spans="1:30">
      <c r="A765">
        <v>4110040001</v>
      </c>
      <c r="B765" t="s">
        <v>30</v>
      </c>
      <c r="C765" t="s">
        <v>88</v>
      </c>
      <c r="D765" t="s">
        <v>222</v>
      </c>
      <c r="E765" t="s">
        <v>842</v>
      </c>
      <c r="F765" t="s">
        <v>33</v>
      </c>
      <c r="G765" t="s">
        <v>843</v>
      </c>
      <c r="H765" t="s">
        <v>35</v>
      </c>
      <c r="I765" t="s">
        <v>962</v>
      </c>
      <c r="J765" t="s">
        <v>963</v>
      </c>
      <c r="K765" t="str">
        <f>"96744176"</f>
        <v>0</v>
      </c>
      <c r="L765">
        <v>950000</v>
      </c>
      <c r="M765"/>
      <c r="N765" t="s">
        <v>38</v>
      </c>
      <c r="O765" t="s">
        <v>38</v>
      </c>
      <c r="P765" t="s">
        <v>53</v>
      </c>
      <c r="Q765" t="s">
        <v>38</v>
      </c>
      <c r="R765" t="s">
        <v>38</v>
      </c>
      <c r="S765" t="s">
        <v>42</v>
      </c>
      <c r="T765" t="s">
        <v>42</v>
      </c>
      <c r="U765" t="s">
        <v>964</v>
      </c>
      <c r="V765" t="s">
        <v>636</v>
      </c>
      <c r="W765" t="s">
        <v>964</v>
      </c>
      <c r="X765" t="s">
        <v>824</v>
      </c>
      <c r="Y765" t="s">
        <v>965</v>
      </c>
      <c r="Z765" t="s">
        <v>47</v>
      </c>
      <c r="AA765"/>
      <c r="AB765"/>
      <c r="AC765"/>
      <c r="AD765" t="s">
        <v>638</v>
      </c>
    </row>
    <row r="766" spans="1:30">
      <c r="A766">
        <v>4110040002</v>
      </c>
      <c r="B766" t="s">
        <v>30</v>
      </c>
      <c r="C766" t="s">
        <v>88</v>
      </c>
      <c r="D766" t="s">
        <v>222</v>
      </c>
      <c r="E766" t="s">
        <v>842</v>
      </c>
      <c r="F766" t="s">
        <v>33</v>
      </c>
      <c r="G766" t="s">
        <v>608</v>
      </c>
      <c r="H766" t="s">
        <v>35</v>
      </c>
      <c r="I766" t="s">
        <v>262</v>
      </c>
      <c r="J766" t="s">
        <v>966</v>
      </c>
      <c r="K766" t="str">
        <f>"NA"</f>
        <v>0</v>
      </c>
      <c r="L766">
        <v>131750</v>
      </c>
      <c r="M766"/>
      <c r="N766" t="s">
        <v>38</v>
      </c>
      <c r="O766" t="s">
        <v>38</v>
      </c>
      <c r="P766" t="s">
        <v>53</v>
      </c>
      <c r="Q766" t="s">
        <v>38</v>
      </c>
      <c r="R766" t="s">
        <v>38</v>
      </c>
      <c r="S766" t="s">
        <v>42</v>
      </c>
      <c r="T766" t="s">
        <v>42</v>
      </c>
      <c r="U766" t="s">
        <v>964</v>
      </c>
      <c r="V766" t="s">
        <v>636</v>
      </c>
      <c r="W766" t="s">
        <v>964</v>
      </c>
      <c r="X766" t="s">
        <v>824</v>
      </c>
      <c r="Y766" t="s">
        <v>965</v>
      </c>
      <c r="Z766" t="s">
        <v>47</v>
      </c>
      <c r="AA766"/>
      <c r="AB766"/>
      <c r="AC766"/>
      <c r="AD766" t="s">
        <v>638</v>
      </c>
    </row>
    <row r="767" spans="1:30">
      <c r="A767">
        <v>4110040003</v>
      </c>
      <c r="B767" t="s">
        <v>30</v>
      </c>
      <c r="C767" t="s">
        <v>88</v>
      </c>
      <c r="D767" t="s">
        <v>222</v>
      </c>
      <c r="E767" t="s">
        <v>842</v>
      </c>
      <c r="F767" t="s">
        <v>33</v>
      </c>
      <c r="G767" t="s">
        <v>623</v>
      </c>
      <c r="H767" t="s">
        <v>35</v>
      </c>
      <c r="I767" t="s">
        <v>497</v>
      </c>
      <c r="J767" t="s">
        <v>967</v>
      </c>
      <c r="K767" t="str">
        <f>"C57224"</f>
        <v>0</v>
      </c>
      <c r="L767">
        <v>170810</v>
      </c>
      <c r="M767"/>
      <c r="N767" t="s">
        <v>38</v>
      </c>
      <c r="O767" t="s">
        <v>38</v>
      </c>
      <c r="P767" t="s">
        <v>53</v>
      </c>
      <c r="Q767" t="s">
        <v>38</v>
      </c>
      <c r="R767" t="s">
        <v>38</v>
      </c>
      <c r="S767" t="s">
        <v>42</v>
      </c>
      <c r="T767" t="s">
        <v>42</v>
      </c>
      <c r="U767" t="s">
        <v>964</v>
      </c>
      <c r="V767" t="s">
        <v>636</v>
      </c>
      <c r="W767" t="s">
        <v>964</v>
      </c>
      <c r="X767" t="s">
        <v>824</v>
      </c>
      <c r="Y767" t="s">
        <v>965</v>
      </c>
      <c r="Z767" t="s">
        <v>47</v>
      </c>
      <c r="AA767"/>
      <c r="AB767"/>
      <c r="AC767"/>
      <c r="AD767" t="s">
        <v>638</v>
      </c>
    </row>
    <row r="768" spans="1:30">
      <c r="A768">
        <v>4110040004</v>
      </c>
      <c r="B768" t="s">
        <v>30</v>
      </c>
      <c r="C768" t="s">
        <v>88</v>
      </c>
      <c r="D768" t="s">
        <v>222</v>
      </c>
      <c r="E768" t="s">
        <v>151</v>
      </c>
      <c r="F768" t="s">
        <v>152</v>
      </c>
      <c r="G768" t="s">
        <v>723</v>
      </c>
      <c r="H768" t="s">
        <v>50</v>
      </c>
      <c r="I768" t="s">
        <v>968</v>
      </c>
      <c r="J768" t="s">
        <v>59</v>
      </c>
      <c r="K768" t="str">
        <f>"na"</f>
        <v>0</v>
      </c>
      <c r="L768">
        <v>125000</v>
      </c>
      <c r="M768"/>
      <c r="N768" t="s">
        <v>38</v>
      </c>
      <c r="O768" t="s">
        <v>38</v>
      </c>
      <c r="P768" t="s">
        <v>53</v>
      </c>
      <c r="Q768" t="s">
        <v>38</v>
      </c>
      <c r="R768" t="s">
        <v>38</v>
      </c>
      <c r="S768" t="s">
        <v>266</v>
      </c>
      <c r="T768" t="s">
        <v>266</v>
      </c>
      <c r="U768" t="s">
        <v>964</v>
      </c>
      <c r="V768" t="s">
        <v>636</v>
      </c>
      <c r="W768" t="s">
        <v>964</v>
      </c>
      <c r="X768" t="s">
        <v>824</v>
      </c>
      <c r="Y768" t="s">
        <v>965</v>
      </c>
      <c r="Z768" t="s">
        <v>70</v>
      </c>
      <c r="AA768"/>
      <c r="AB768"/>
      <c r="AC768"/>
      <c r="AD768" t="s">
        <v>638</v>
      </c>
    </row>
    <row r="769" spans="1:30">
      <c r="A769">
        <v>4110040005</v>
      </c>
      <c r="B769" t="s">
        <v>30</v>
      </c>
      <c r="C769" t="s">
        <v>88</v>
      </c>
      <c r="D769" t="s">
        <v>222</v>
      </c>
      <c r="E769" t="s">
        <v>151</v>
      </c>
      <c r="F769" t="s">
        <v>48</v>
      </c>
      <c r="G769" t="s">
        <v>570</v>
      </c>
      <c r="H769" t="s">
        <v>50</v>
      </c>
      <c r="I769" t="s">
        <v>969</v>
      </c>
      <c r="J769" t="s">
        <v>970</v>
      </c>
      <c r="K769" t="str">
        <f>"190580"</f>
        <v>0</v>
      </c>
      <c r="L769">
        <v>25000</v>
      </c>
      <c r="M769"/>
      <c r="N769" t="s">
        <v>38</v>
      </c>
      <c r="O769" t="s">
        <v>38</v>
      </c>
      <c r="P769" t="s">
        <v>53</v>
      </c>
      <c r="Q769" t="s">
        <v>38</v>
      </c>
      <c r="R769" t="s">
        <v>38</v>
      </c>
      <c r="S769" t="s">
        <v>42</v>
      </c>
      <c r="T769" t="s">
        <v>42</v>
      </c>
      <c r="U769" t="s">
        <v>964</v>
      </c>
      <c r="V769" t="s">
        <v>636</v>
      </c>
      <c r="W769" t="s">
        <v>964</v>
      </c>
      <c r="X769" t="s">
        <v>824</v>
      </c>
      <c r="Y769" t="s">
        <v>965</v>
      </c>
      <c r="Z769" t="s">
        <v>47</v>
      </c>
      <c r="AA769"/>
      <c r="AB769"/>
      <c r="AC769"/>
      <c r="AD769" t="s">
        <v>638</v>
      </c>
    </row>
    <row r="770" spans="1:30">
      <c r="A770">
        <v>4110040007</v>
      </c>
      <c r="B770" t="s">
        <v>30</v>
      </c>
      <c r="C770" t="s">
        <v>88</v>
      </c>
      <c r="D770" t="s">
        <v>222</v>
      </c>
      <c r="E770" t="s">
        <v>151</v>
      </c>
      <c r="F770" t="s">
        <v>152</v>
      </c>
      <c r="G770" t="s">
        <v>763</v>
      </c>
      <c r="H770" t="s">
        <v>50</v>
      </c>
      <c r="I770" t="s">
        <v>764</v>
      </c>
      <c r="J770" t="s">
        <v>910</v>
      </c>
      <c r="K770" t="str">
        <f>"NA"</f>
        <v>0</v>
      </c>
      <c r="L770">
        <v>475154</v>
      </c>
      <c r="M770"/>
      <c r="N770" t="s">
        <v>38</v>
      </c>
      <c r="O770" t="s">
        <v>38</v>
      </c>
      <c r="P770" t="s">
        <v>53</v>
      </c>
      <c r="Q770" t="s">
        <v>38</v>
      </c>
      <c r="R770" t="s">
        <v>38</v>
      </c>
      <c r="S770" t="s">
        <v>42</v>
      </c>
      <c r="T770" t="s">
        <v>42</v>
      </c>
      <c r="U770" t="s">
        <v>964</v>
      </c>
      <c r="V770" t="s">
        <v>636</v>
      </c>
      <c r="W770" t="s">
        <v>964</v>
      </c>
      <c r="X770" t="s">
        <v>824</v>
      </c>
      <c r="Y770" t="s">
        <v>965</v>
      </c>
      <c r="Z770" t="s">
        <v>47</v>
      </c>
      <c r="AA770"/>
      <c r="AB770"/>
      <c r="AC770"/>
      <c r="AD770" t="s">
        <v>638</v>
      </c>
    </row>
    <row r="771" spans="1:30">
      <c r="A771">
        <v>4110040008</v>
      </c>
      <c r="B771" t="s">
        <v>30</v>
      </c>
      <c r="C771" t="s">
        <v>88</v>
      </c>
      <c r="D771" t="s">
        <v>222</v>
      </c>
      <c r="E771" t="s">
        <v>48</v>
      </c>
      <c r="F771" t="s">
        <v>48</v>
      </c>
      <c r="G771" t="s">
        <v>431</v>
      </c>
      <c r="H771" t="s">
        <v>35</v>
      </c>
      <c r="I771" t="s">
        <v>432</v>
      </c>
      <c r="J771" t="s">
        <v>971</v>
      </c>
      <c r="K771" t="str">
        <f>"516"</f>
        <v>0</v>
      </c>
      <c r="L771">
        <v>327000</v>
      </c>
      <c r="M771"/>
      <c r="N771" t="s">
        <v>38</v>
      </c>
      <c r="O771" t="s">
        <v>38</v>
      </c>
      <c r="P771" t="s">
        <v>53</v>
      </c>
      <c r="Q771" t="s">
        <v>972</v>
      </c>
      <c r="R771" t="s">
        <v>973</v>
      </c>
      <c r="S771" t="s">
        <v>42</v>
      </c>
      <c r="T771" t="s">
        <v>42</v>
      </c>
      <c r="U771" t="s">
        <v>964</v>
      </c>
      <c r="V771" t="s">
        <v>636</v>
      </c>
      <c r="W771" t="s">
        <v>964</v>
      </c>
      <c r="X771" t="s">
        <v>824</v>
      </c>
      <c r="Y771" t="s">
        <v>965</v>
      </c>
      <c r="Z771" t="s">
        <v>47</v>
      </c>
      <c r="AA771"/>
      <c r="AB771"/>
      <c r="AC771"/>
      <c r="AD771" t="s">
        <v>638</v>
      </c>
    </row>
    <row r="772" spans="1:30">
      <c r="A772">
        <v>4110040009</v>
      </c>
      <c r="B772" t="s">
        <v>30</v>
      </c>
      <c r="C772" t="s">
        <v>88</v>
      </c>
      <c r="D772" t="s">
        <v>222</v>
      </c>
      <c r="E772" t="s">
        <v>48</v>
      </c>
      <c r="F772" t="s">
        <v>48</v>
      </c>
      <c r="G772" t="s">
        <v>620</v>
      </c>
      <c r="H772" t="s">
        <v>50</v>
      </c>
      <c r="I772" t="s">
        <v>621</v>
      </c>
      <c r="J772" t="s">
        <v>974</v>
      </c>
      <c r="K772" t="str">
        <f>"na"</f>
        <v>0</v>
      </c>
      <c r="L772">
        <v>100000</v>
      </c>
      <c r="M772"/>
      <c r="N772" t="s">
        <v>38</v>
      </c>
      <c r="O772" t="s">
        <v>38</v>
      </c>
      <c r="P772" t="s">
        <v>53</v>
      </c>
      <c r="Q772" t="s">
        <v>38</v>
      </c>
      <c r="R772" t="s">
        <v>38</v>
      </c>
      <c r="S772" t="s">
        <v>42</v>
      </c>
      <c r="T772" t="s">
        <v>42</v>
      </c>
      <c r="U772" t="s">
        <v>964</v>
      </c>
      <c r="V772" t="s">
        <v>636</v>
      </c>
      <c r="W772" t="s">
        <v>964</v>
      </c>
      <c r="X772" t="s">
        <v>824</v>
      </c>
      <c r="Y772" t="s">
        <v>965</v>
      </c>
      <c r="Z772" t="s">
        <v>47</v>
      </c>
      <c r="AA772"/>
      <c r="AB772"/>
      <c r="AC772"/>
      <c r="AD772" t="s">
        <v>638</v>
      </c>
    </row>
    <row r="773" spans="1:30">
      <c r="A773">
        <v>4110040010</v>
      </c>
      <c r="B773" t="s">
        <v>30</v>
      </c>
      <c r="C773" t="s">
        <v>88</v>
      </c>
      <c r="D773" t="s">
        <v>222</v>
      </c>
      <c r="E773" t="s">
        <v>48</v>
      </c>
      <c r="F773" t="s">
        <v>48</v>
      </c>
      <c r="G773" t="s">
        <v>530</v>
      </c>
      <c r="H773" t="s">
        <v>50</v>
      </c>
      <c r="I773" t="s">
        <v>100</v>
      </c>
      <c r="J773" t="s">
        <v>59</v>
      </c>
      <c r="K773" t="str">
        <f>"na"</f>
        <v>0</v>
      </c>
      <c r="L773">
        <v>48000</v>
      </c>
      <c r="M773"/>
      <c r="N773" t="s">
        <v>38</v>
      </c>
      <c r="O773" t="s">
        <v>38</v>
      </c>
      <c r="P773" t="s">
        <v>53</v>
      </c>
      <c r="Q773" t="s">
        <v>38</v>
      </c>
      <c r="R773" t="s">
        <v>38</v>
      </c>
      <c r="S773" t="s">
        <v>42</v>
      </c>
      <c r="T773" t="s">
        <v>42</v>
      </c>
      <c r="U773" t="s">
        <v>964</v>
      </c>
      <c r="V773" t="s">
        <v>636</v>
      </c>
      <c r="W773" t="s">
        <v>964</v>
      </c>
      <c r="X773" t="s">
        <v>824</v>
      </c>
      <c r="Y773" t="s">
        <v>965</v>
      </c>
      <c r="Z773" t="s">
        <v>47</v>
      </c>
      <c r="AA773"/>
      <c r="AB773"/>
      <c r="AC773"/>
      <c r="AD773" t="s">
        <v>638</v>
      </c>
    </row>
    <row r="774" spans="1:30">
      <c r="A774">
        <v>4110040011</v>
      </c>
      <c r="B774" t="s">
        <v>30</v>
      </c>
      <c r="C774" t="s">
        <v>88</v>
      </c>
      <c r="D774" t="s">
        <v>222</v>
      </c>
      <c r="E774" t="s">
        <v>48</v>
      </c>
      <c r="F774" t="s">
        <v>48</v>
      </c>
      <c r="G774" t="s">
        <v>203</v>
      </c>
      <c r="H774" t="s">
        <v>50</v>
      </c>
      <c r="I774" t="s">
        <v>100</v>
      </c>
      <c r="J774" t="s">
        <v>59</v>
      </c>
      <c r="K774" t="str">
        <f>"na"</f>
        <v>0</v>
      </c>
      <c r="L774">
        <v>20000</v>
      </c>
      <c r="M774"/>
      <c r="N774" t="s">
        <v>38</v>
      </c>
      <c r="O774" t="s">
        <v>38</v>
      </c>
      <c r="P774" t="s">
        <v>53</v>
      </c>
      <c r="Q774" t="s">
        <v>38</v>
      </c>
      <c r="R774" t="s">
        <v>38</v>
      </c>
      <c r="S774" t="s">
        <v>42</v>
      </c>
      <c r="T774" t="s">
        <v>42</v>
      </c>
      <c r="U774" t="s">
        <v>964</v>
      </c>
      <c r="V774" t="s">
        <v>636</v>
      </c>
      <c r="W774" t="s">
        <v>964</v>
      </c>
      <c r="X774" t="s">
        <v>824</v>
      </c>
      <c r="Y774" t="s">
        <v>965</v>
      </c>
      <c r="Z774" t="s">
        <v>47</v>
      </c>
      <c r="AA774"/>
      <c r="AB774"/>
      <c r="AC774"/>
      <c r="AD774" t="s">
        <v>638</v>
      </c>
    </row>
    <row r="775" spans="1:30">
      <c r="A775">
        <v>4110040012</v>
      </c>
      <c r="B775" t="s">
        <v>30</v>
      </c>
      <c r="C775" t="s">
        <v>88</v>
      </c>
      <c r="D775" t="s">
        <v>222</v>
      </c>
      <c r="E775" t="s">
        <v>48</v>
      </c>
      <c r="F775" t="s">
        <v>48</v>
      </c>
      <c r="G775" t="s">
        <v>620</v>
      </c>
      <c r="H775" t="s">
        <v>50</v>
      </c>
      <c r="I775" t="s">
        <v>621</v>
      </c>
      <c r="J775" t="s">
        <v>622</v>
      </c>
      <c r="K775" t="str">
        <f>"na"</f>
        <v>0</v>
      </c>
      <c r="L775">
        <v>100000</v>
      </c>
      <c r="M775"/>
      <c r="N775" t="s">
        <v>38</v>
      </c>
      <c r="O775" t="s">
        <v>38</v>
      </c>
      <c r="P775" t="s">
        <v>53</v>
      </c>
      <c r="Q775" t="s">
        <v>38</v>
      </c>
      <c r="R775" t="s">
        <v>38</v>
      </c>
      <c r="S775" t="s">
        <v>42</v>
      </c>
      <c r="T775" t="s">
        <v>42</v>
      </c>
      <c r="U775" t="s">
        <v>964</v>
      </c>
      <c r="V775" t="s">
        <v>636</v>
      </c>
      <c r="W775" t="s">
        <v>964</v>
      </c>
      <c r="X775" t="s">
        <v>824</v>
      </c>
      <c r="Y775" t="s">
        <v>965</v>
      </c>
      <c r="Z775" t="s">
        <v>47</v>
      </c>
      <c r="AA775"/>
      <c r="AB775"/>
      <c r="AC775"/>
      <c r="AD775" t="s">
        <v>638</v>
      </c>
    </row>
    <row r="776" spans="1:30">
      <c r="A776">
        <v>4110040013</v>
      </c>
      <c r="B776" t="s">
        <v>30</v>
      </c>
      <c r="C776" t="s">
        <v>88</v>
      </c>
      <c r="D776" t="s">
        <v>222</v>
      </c>
      <c r="E776" t="s">
        <v>48</v>
      </c>
      <c r="F776" t="s">
        <v>48</v>
      </c>
      <c r="G776" t="s">
        <v>453</v>
      </c>
      <c r="H776" t="s">
        <v>50</v>
      </c>
      <c r="I776" t="s">
        <v>454</v>
      </c>
      <c r="J776" t="s">
        <v>315</v>
      </c>
      <c r="K776" t="str">
        <f>"NA"</f>
        <v>0</v>
      </c>
      <c r="L776">
        <v>27991</v>
      </c>
      <c r="M776"/>
      <c r="N776" t="s">
        <v>38</v>
      </c>
      <c r="O776" t="s">
        <v>38</v>
      </c>
      <c r="P776" t="s">
        <v>53</v>
      </c>
      <c r="Q776" t="s">
        <v>38</v>
      </c>
      <c r="R776" t="s">
        <v>38</v>
      </c>
      <c r="S776" t="s">
        <v>42</v>
      </c>
      <c r="T776" t="s">
        <v>42</v>
      </c>
      <c r="U776" t="s">
        <v>964</v>
      </c>
      <c r="V776" t="s">
        <v>636</v>
      </c>
      <c r="W776" t="s">
        <v>964</v>
      </c>
      <c r="X776" t="s">
        <v>824</v>
      </c>
      <c r="Y776" t="s">
        <v>965</v>
      </c>
      <c r="Z776" t="s">
        <v>47</v>
      </c>
      <c r="AA776"/>
      <c r="AB776"/>
      <c r="AC776"/>
      <c r="AD776" t="s">
        <v>638</v>
      </c>
    </row>
    <row r="777" spans="1:30">
      <c r="A777">
        <v>4110040014</v>
      </c>
      <c r="B777" t="s">
        <v>30</v>
      </c>
      <c r="C777" t="s">
        <v>88</v>
      </c>
      <c r="D777" t="s">
        <v>222</v>
      </c>
      <c r="E777" t="s">
        <v>48</v>
      </c>
      <c r="F777" t="s">
        <v>48</v>
      </c>
      <c r="G777" t="s">
        <v>203</v>
      </c>
      <c r="H777" t="s">
        <v>50</v>
      </c>
      <c r="I777" t="s">
        <v>173</v>
      </c>
      <c r="J777" t="s">
        <v>975</v>
      </c>
      <c r="K777" t="str">
        <f>"ZFJN33434"</f>
        <v>0</v>
      </c>
      <c r="L777">
        <v>36125</v>
      </c>
      <c r="M777"/>
      <c r="N777" t="s">
        <v>38</v>
      </c>
      <c r="O777" t="s">
        <v>38</v>
      </c>
      <c r="P777" t="s">
        <v>53</v>
      </c>
      <c r="Q777" t="s">
        <v>38</v>
      </c>
      <c r="R777" t="s">
        <v>38</v>
      </c>
      <c r="S777" t="s">
        <v>42</v>
      </c>
      <c r="T777" t="s">
        <v>42</v>
      </c>
      <c r="U777" t="s">
        <v>964</v>
      </c>
      <c r="V777" t="s">
        <v>636</v>
      </c>
      <c r="W777" t="s">
        <v>964</v>
      </c>
      <c r="X777" t="s">
        <v>824</v>
      </c>
      <c r="Y777" t="s">
        <v>965</v>
      </c>
      <c r="Z777" t="s">
        <v>47</v>
      </c>
      <c r="AA777"/>
      <c r="AB777"/>
      <c r="AC777"/>
      <c r="AD777" t="s">
        <v>638</v>
      </c>
    </row>
    <row r="778" spans="1:30">
      <c r="A778">
        <v>4110040017</v>
      </c>
      <c r="B778" t="s">
        <v>30</v>
      </c>
      <c r="C778" t="s">
        <v>88</v>
      </c>
      <c r="D778" t="s">
        <v>222</v>
      </c>
      <c r="E778" t="s">
        <v>339</v>
      </c>
      <c r="F778" t="s">
        <v>340</v>
      </c>
      <c r="G778" t="s">
        <v>665</v>
      </c>
      <c r="H778" t="s">
        <v>50</v>
      </c>
      <c r="I778" t="s">
        <v>663</v>
      </c>
      <c r="J778" t="s">
        <v>976</v>
      </c>
      <c r="K778" t="str">
        <f>"826334"</f>
        <v>0</v>
      </c>
      <c r="L778">
        <v>325000</v>
      </c>
      <c r="M778"/>
      <c r="N778" t="s">
        <v>38</v>
      </c>
      <c r="O778" t="s">
        <v>38</v>
      </c>
      <c r="P778" t="s">
        <v>53</v>
      </c>
      <c r="Q778" t="s">
        <v>38</v>
      </c>
      <c r="R778" t="s">
        <v>38</v>
      </c>
      <c r="S778" t="s">
        <v>42</v>
      </c>
      <c r="T778" t="s">
        <v>42</v>
      </c>
      <c r="U778" t="s">
        <v>964</v>
      </c>
      <c r="V778" t="s">
        <v>636</v>
      </c>
      <c r="W778" t="s">
        <v>964</v>
      </c>
      <c r="X778" t="s">
        <v>824</v>
      </c>
      <c r="Y778" t="s">
        <v>965</v>
      </c>
      <c r="Z778" t="s">
        <v>47</v>
      </c>
      <c r="AA778"/>
      <c r="AB778"/>
      <c r="AC778"/>
      <c r="AD778" t="s">
        <v>638</v>
      </c>
    </row>
    <row r="779" spans="1:30">
      <c r="A779">
        <v>4110040018</v>
      </c>
      <c r="B779" t="s">
        <v>30</v>
      </c>
      <c r="C779" t="s">
        <v>88</v>
      </c>
      <c r="D779" t="s">
        <v>222</v>
      </c>
      <c r="E779" t="s">
        <v>72</v>
      </c>
      <c r="F779" t="s">
        <v>166</v>
      </c>
      <c r="G779" t="s">
        <v>167</v>
      </c>
      <c r="H779" t="s">
        <v>35</v>
      </c>
      <c r="I779" t="s">
        <v>168</v>
      </c>
      <c r="J779" t="s">
        <v>900</v>
      </c>
      <c r="K779" t="str">
        <f>"L19170925076"</f>
        <v>0</v>
      </c>
      <c r="L779">
        <v>65000</v>
      </c>
      <c r="M779"/>
      <c r="N779" t="s">
        <v>38</v>
      </c>
      <c r="O779" t="s">
        <v>38</v>
      </c>
      <c r="P779" t="s">
        <v>53</v>
      </c>
      <c r="Q779" t="s">
        <v>38</v>
      </c>
      <c r="R779" t="s">
        <v>38</v>
      </c>
      <c r="S779" t="s">
        <v>42</v>
      </c>
      <c r="T779" t="s">
        <v>42</v>
      </c>
      <c r="U779" t="s">
        <v>964</v>
      </c>
      <c r="V779" t="s">
        <v>636</v>
      </c>
      <c r="W779" t="s">
        <v>964</v>
      </c>
      <c r="X779" t="s">
        <v>824</v>
      </c>
      <c r="Y779" t="s">
        <v>965</v>
      </c>
      <c r="Z779" t="s">
        <v>47</v>
      </c>
      <c r="AA779"/>
      <c r="AB779"/>
      <c r="AC779"/>
      <c r="AD779" t="s">
        <v>638</v>
      </c>
    </row>
    <row r="780" spans="1:30">
      <c r="A780">
        <v>4110040019</v>
      </c>
      <c r="B780" t="s">
        <v>30</v>
      </c>
      <c r="C780" t="s">
        <v>88</v>
      </c>
      <c r="D780" t="s">
        <v>222</v>
      </c>
      <c r="E780" t="s">
        <v>72</v>
      </c>
      <c r="F780" t="s">
        <v>166</v>
      </c>
      <c r="G780" t="s">
        <v>167</v>
      </c>
      <c r="H780" t="s">
        <v>35</v>
      </c>
      <c r="I780" t="s">
        <v>168</v>
      </c>
      <c r="J780" t="s">
        <v>900</v>
      </c>
      <c r="K780" t="str">
        <f>"L19170925078"</f>
        <v>0</v>
      </c>
      <c r="L780">
        <v>65000</v>
      </c>
      <c r="M780"/>
      <c r="N780" t="s">
        <v>38</v>
      </c>
      <c r="O780" t="s">
        <v>38</v>
      </c>
      <c r="P780" t="s">
        <v>53</v>
      </c>
      <c r="Q780" t="s">
        <v>38</v>
      </c>
      <c r="R780" t="s">
        <v>38</v>
      </c>
      <c r="S780" t="s">
        <v>42</v>
      </c>
      <c r="T780" t="s">
        <v>42</v>
      </c>
      <c r="U780" t="s">
        <v>964</v>
      </c>
      <c r="V780" t="s">
        <v>636</v>
      </c>
      <c r="W780" t="s">
        <v>964</v>
      </c>
      <c r="X780" t="s">
        <v>824</v>
      </c>
      <c r="Y780" t="s">
        <v>965</v>
      </c>
      <c r="Z780" t="s">
        <v>47</v>
      </c>
      <c r="AA780"/>
      <c r="AB780"/>
      <c r="AC780"/>
      <c r="AD780" t="s">
        <v>638</v>
      </c>
    </row>
    <row r="781" spans="1:30">
      <c r="A781">
        <v>4110040020</v>
      </c>
      <c r="B781" t="s">
        <v>30</v>
      </c>
      <c r="C781" t="s">
        <v>88</v>
      </c>
      <c r="D781" t="s">
        <v>222</v>
      </c>
      <c r="E781" t="s">
        <v>72</v>
      </c>
      <c r="F781" t="s">
        <v>166</v>
      </c>
      <c r="G781" t="s">
        <v>247</v>
      </c>
      <c r="H781" t="s">
        <v>50</v>
      </c>
      <c r="I781" t="s">
        <v>168</v>
      </c>
      <c r="J781" t="s">
        <v>900</v>
      </c>
      <c r="K781" t="str">
        <f>"L19170925079"</f>
        <v>0</v>
      </c>
      <c r="L781">
        <v>34777</v>
      </c>
      <c r="M781"/>
      <c r="N781" t="s">
        <v>38</v>
      </c>
      <c r="O781" t="s">
        <v>38</v>
      </c>
      <c r="P781" t="s">
        <v>53</v>
      </c>
      <c r="Q781" t="s">
        <v>38</v>
      </c>
      <c r="R781" t="s">
        <v>38</v>
      </c>
      <c r="S781" t="s">
        <v>42</v>
      </c>
      <c r="T781" t="s">
        <v>42</v>
      </c>
      <c r="U781" t="s">
        <v>964</v>
      </c>
      <c r="V781" t="s">
        <v>636</v>
      </c>
      <c r="W781" t="s">
        <v>964</v>
      </c>
      <c r="X781" t="s">
        <v>824</v>
      </c>
      <c r="Y781" t="s">
        <v>965</v>
      </c>
      <c r="Z781" t="s">
        <v>47</v>
      </c>
      <c r="AA781"/>
      <c r="AB781"/>
      <c r="AC781"/>
      <c r="AD781" t="s">
        <v>638</v>
      </c>
    </row>
    <row r="782" spans="1:30">
      <c r="A782">
        <v>4110040021</v>
      </c>
      <c r="B782" t="s">
        <v>30</v>
      </c>
      <c r="C782" t="s">
        <v>88</v>
      </c>
      <c r="D782" t="s">
        <v>222</v>
      </c>
      <c r="E782" t="s">
        <v>72</v>
      </c>
      <c r="F782" t="s">
        <v>64</v>
      </c>
      <c r="G782" t="s">
        <v>99</v>
      </c>
      <c r="H782" t="s">
        <v>50</v>
      </c>
      <c r="I782" t="s">
        <v>314</v>
      </c>
      <c r="J782" t="s">
        <v>977</v>
      </c>
      <c r="K782" t="str">
        <f>"Na"</f>
        <v>0</v>
      </c>
      <c r="L782">
        <v>36000</v>
      </c>
      <c r="M782"/>
      <c r="N782" t="s">
        <v>38</v>
      </c>
      <c r="O782" t="s">
        <v>38</v>
      </c>
      <c r="P782" t="s">
        <v>53</v>
      </c>
      <c r="Q782" t="s">
        <v>38</v>
      </c>
      <c r="R782" t="s">
        <v>38</v>
      </c>
      <c r="S782" t="s">
        <v>42</v>
      </c>
      <c r="T782" t="s">
        <v>42</v>
      </c>
      <c r="U782" t="s">
        <v>964</v>
      </c>
      <c r="V782" t="s">
        <v>636</v>
      </c>
      <c r="W782" t="s">
        <v>964</v>
      </c>
      <c r="X782" t="s">
        <v>824</v>
      </c>
      <c r="Y782" t="s">
        <v>965</v>
      </c>
      <c r="Z782" t="s">
        <v>47</v>
      </c>
      <c r="AA782"/>
      <c r="AB782"/>
      <c r="AC782"/>
      <c r="AD782" t="s">
        <v>638</v>
      </c>
    </row>
    <row r="783" spans="1:30">
      <c r="A783">
        <v>4110040022</v>
      </c>
      <c r="B783" t="s">
        <v>30</v>
      </c>
      <c r="C783" t="s">
        <v>88</v>
      </c>
      <c r="D783" t="s">
        <v>222</v>
      </c>
      <c r="E783" t="s">
        <v>72</v>
      </c>
      <c r="F783" t="s">
        <v>64</v>
      </c>
      <c r="G783" t="s">
        <v>99</v>
      </c>
      <c r="H783" t="s">
        <v>50</v>
      </c>
      <c r="I783" t="s">
        <v>314</v>
      </c>
      <c r="J783" t="s">
        <v>977</v>
      </c>
      <c r="K783" t="str">
        <f>"NA"</f>
        <v>0</v>
      </c>
      <c r="L783">
        <v>36000</v>
      </c>
      <c r="M783"/>
      <c r="N783" t="s">
        <v>38</v>
      </c>
      <c r="O783" t="s">
        <v>38</v>
      </c>
      <c r="P783" t="s">
        <v>53</v>
      </c>
      <c r="Q783" t="s">
        <v>38</v>
      </c>
      <c r="R783" t="s">
        <v>38</v>
      </c>
      <c r="S783" t="s">
        <v>42</v>
      </c>
      <c r="T783" t="s">
        <v>42</v>
      </c>
      <c r="U783" t="s">
        <v>964</v>
      </c>
      <c r="V783" t="s">
        <v>636</v>
      </c>
      <c r="W783" t="s">
        <v>964</v>
      </c>
      <c r="X783" t="s">
        <v>824</v>
      </c>
      <c r="Y783" t="s">
        <v>965</v>
      </c>
      <c r="Z783" t="s">
        <v>47</v>
      </c>
      <c r="AA783"/>
      <c r="AB783"/>
      <c r="AC783"/>
      <c r="AD783" t="s">
        <v>638</v>
      </c>
    </row>
    <row r="784" spans="1:30">
      <c r="A784">
        <v>4110040023</v>
      </c>
      <c r="B784" t="s">
        <v>30</v>
      </c>
      <c r="C784" t="s">
        <v>88</v>
      </c>
      <c r="D784" t="s">
        <v>222</v>
      </c>
      <c r="E784" t="s">
        <v>72</v>
      </c>
      <c r="F784" t="s">
        <v>64</v>
      </c>
      <c r="G784" t="s">
        <v>99</v>
      </c>
      <c r="H784" t="s">
        <v>50</v>
      </c>
      <c r="I784" t="s">
        <v>314</v>
      </c>
      <c r="J784" t="s">
        <v>977</v>
      </c>
      <c r="K784" t="str">
        <f>"na"</f>
        <v>0</v>
      </c>
      <c r="L784">
        <v>36000</v>
      </c>
      <c r="M784"/>
      <c r="N784" t="s">
        <v>38</v>
      </c>
      <c r="O784" t="s">
        <v>38</v>
      </c>
      <c r="P784" t="s">
        <v>53</v>
      </c>
      <c r="Q784" t="s">
        <v>38</v>
      </c>
      <c r="R784" t="s">
        <v>38</v>
      </c>
      <c r="S784" t="s">
        <v>42</v>
      </c>
      <c r="T784" t="s">
        <v>42</v>
      </c>
      <c r="U784" t="s">
        <v>964</v>
      </c>
      <c r="V784" t="s">
        <v>636</v>
      </c>
      <c r="W784" t="s">
        <v>964</v>
      </c>
      <c r="X784" t="s">
        <v>824</v>
      </c>
      <c r="Y784" t="s">
        <v>965</v>
      </c>
      <c r="Z784" t="s">
        <v>47</v>
      </c>
      <c r="AA784"/>
      <c r="AB784"/>
      <c r="AC784"/>
      <c r="AD784" t="s">
        <v>638</v>
      </c>
    </row>
    <row r="785" spans="1:30">
      <c r="A785">
        <v>4110040024</v>
      </c>
      <c r="B785" t="s">
        <v>30</v>
      </c>
      <c r="C785" t="s">
        <v>88</v>
      </c>
      <c r="D785" t="s">
        <v>222</v>
      </c>
      <c r="E785" t="s">
        <v>72</v>
      </c>
      <c r="F785" t="s">
        <v>64</v>
      </c>
      <c r="G785" t="s">
        <v>99</v>
      </c>
      <c r="H785" t="s">
        <v>50</v>
      </c>
      <c r="I785" t="s">
        <v>314</v>
      </c>
      <c r="J785" t="s">
        <v>977</v>
      </c>
      <c r="K785" t="str">
        <f>"NA"</f>
        <v>0</v>
      </c>
      <c r="L785">
        <v>36000</v>
      </c>
      <c r="M785"/>
      <c r="N785" t="s">
        <v>38</v>
      </c>
      <c r="O785" t="s">
        <v>38</v>
      </c>
      <c r="P785" t="s">
        <v>53</v>
      </c>
      <c r="Q785" t="s">
        <v>38</v>
      </c>
      <c r="R785" t="s">
        <v>38</v>
      </c>
      <c r="S785" t="s">
        <v>42</v>
      </c>
      <c r="T785" t="s">
        <v>42</v>
      </c>
      <c r="U785" t="s">
        <v>964</v>
      </c>
      <c r="V785" t="s">
        <v>636</v>
      </c>
      <c r="W785" t="s">
        <v>964</v>
      </c>
      <c r="X785" t="s">
        <v>824</v>
      </c>
      <c r="Y785" t="s">
        <v>965</v>
      </c>
      <c r="Z785" t="s">
        <v>47</v>
      </c>
      <c r="AA785"/>
      <c r="AB785"/>
      <c r="AC785"/>
      <c r="AD785" t="s">
        <v>638</v>
      </c>
    </row>
    <row r="786" spans="1:30">
      <c r="A786">
        <v>4110040026</v>
      </c>
      <c r="B786" t="s">
        <v>30</v>
      </c>
      <c r="C786" t="s">
        <v>88</v>
      </c>
      <c r="D786" t="s">
        <v>222</v>
      </c>
      <c r="E786" t="s">
        <v>72</v>
      </c>
      <c r="F786" t="s">
        <v>147</v>
      </c>
      <c r="G786" t="s">
        <v>148</v>
      </c>
      <c r="H786" t="s">
        <v>35</v>
      </c>
      <c r="I786" t="s">
        <v>149</v>
      </c>
      <c r="J786" t="s">
        <v>906</v>
      </c>
      <c r="K786" t="str">
        <f>"V301A1902198"</f>
        <v>0</v>
      </c>
      <c r="L786">
        <v>47952</v>
      </c>
      <c r="M786"/>
      <c r="N786" t="s">
        <v>38</v>
      </c>
      <c r="O786" t="s">
        <v>38</v>
      </c>
      <c r="P786" t="s">
        <v>53</v>
      </c>
      <c r="Q786" t="s">
        <v>38</v>
      </c>
      <c r="R786" t="s">
        <v>38</v>
      </c>
      <c r="S786" t="s">
        <v>42</v>
      </c>
      <c r="T786" t="s">
        <v>42</v>
      </c>
      <c r="U786" t="s">
        <v>964</v>
      </c>
      <c r="V786" t="s">
        <v>636</v>
      </c>
      <c r="W786" t="s">
        <v>964</v>
      </c>
      <c r="X786" t="s">
        <v>824</v>
      </c>
      <c r="Y786" t="s">
        <v>965</v>
      </c>
      <c r="Z786" t="s">
        <v>47</v>
      </c>
      <c r="AA786"/>
      <c r="AB786"/>
      <c r="AC786"/>
      <c r="AD786" t="s">
        <v>638</v>
      </c>
    </row>
    <row r="787" spans="1:30">
      <c r="A787">
        <v>4110040027</v>
      </c>
      <c r="B787" t="s">
        <v>30</v>
      </c>
      <c r="C787" t="s">
        <v>88</v>
      </c>
      <c r="D787" t="s">
        <v>222</v>
      </c>
      <c r="E787" t="s">
        <v>72</v>
      </c>
      <c r="F787" t="s">
        <v>147</v>
      </c>
      <c r="G787" t="s">
        <v>148</v>
      </c>
      <c r="H787" t="s">
        <v>35</v>
      </c>
      <c r="I787" t="s">
        <v>149</v>
      </c>
      <c r="J787" t="s">
        <v>906</v>
      </c>
      <c r="K787" t="str">
        <f>"V301A1911011"</f>
        <v>0</v>
      </c>
      <c r="L787">
        <v>47952</v>
      </c>
      <c r="M787"/>
      <c r="N787" t="s">
        <v>38</v>
      </c>
      <c r="O787" t="s">
        <v>38</v>
      </c>
      <c r="P787" t="s">
        <v>53</v>
      </c>
      <c r="Q787" t="s">
        <v>38</v>
      </c>
      <c r="R787" t="s">
        <v>38</v>
      </c>
      <c r="S787" t="s">
        <v>42</v>
      </c>
      <c r="T787" t="s">
        <v>42</v>
      </c>
      <c r="U787" t="s">
        <v>964</v>
      </c>
      <c r="V787" t="s">
        <v>636</v>
      </c>
      <c r="W787" t="s">
        <v>964</v>
      </c>
      <c r="X787" t="s">
        <v>824</v>
      </c>
      <c r="Y787" t="s">
        <v>965</v>
      </c>
      <c r="Z787" t="s">
        <v>47</v>
      </c>
      <c r="AA787"/>
      <c r="AB787"/>
      <c r="AC787"/>
      <c r="AD787" t="s">
        <v>638</v>
      </c>
    </row>
    <row r="788" spans="1:30">
      <c r="A788">
        <v>4110040030</v>
      </c>
      <c r="B788" t="s">
        <v>30</v>
      </c>
      <c r="C788" t="s">
        <v>88</v>
      </c>
      <c r="D788" t="s">
        <v>222</v>
      </c>
      <c r="E788" t="s">
        <v>494</v>
      </c>
      <c r="F788" t="s">
        <v>48</v>
      </c>
      <c r="G788" t="s">
        <v>280</v>
      </c>
      <c r="H788" t="s">
        <v>50</v>
      </c>
      <c r="I788" t="s">
        <v>254</v>
      </c>
      <c r="J788" t="s">
        <v>59</v>
      </c>
      <c r="K788" t="str">
        <f>"na"</f>
        <v>0</v>
      </c>
      <c r="L788">
        <v>105340</v>
      </c>
      <c r="M788"/>
      <c r="N788" t="s">
        <v>38</v>
      </c>
      <c r="O788" t="s">
        <v>38</v>
      </c>
      <c r="P788" t="s">
        <v>53</v>
      </c>
      <c r="Q788" t="s">
        <v>38</v>
      </c>
      <c r="R788" t="s">
        <v>38</v>
      </c>
      <c r="S788" t="s">
        <v>42</v>
      </c>
      <c r="T788" t="s">
        <v>42</v>
      </c>
      <c r="U788" t="s">
        <v>964</v>
      </c>
      <c r="V788" t="s">
        <v>636</v>
      </c>
      <c r="W788" t="s">
        <v>964</v>
      </c>
      <c r="X788" t="s">
        <v>824</v>
      </c>
      <c r="Y788" t="s">
        <v>965</v>
      </c>
      <c r="Z788" t="s">
        <v>47</v>
      </c>
      <c r="AA788"/>
      <c r="AB788"/>
      <c r="AC788"/>
      <c r="AD788" t="s">
        <v>638</v>
      </c>
    </row>
    <row r="789" spans="1:30">
      <c r="A789">
        <v>4110040031</v>
      </c>
      <c r="B789" t="s">
        <v>30</v>
      </c>
      <c r="C789" t="s">
        <v>88</v>
      </c>
      <c r="D789" t="s">
        <v>222</v>
      </c>
      <c r="E789" t="s">
        <v>494</v>
      </c>
      <c r="F789" t="s">
        <v>48</v>
      </c>
      <c r="G789" t="s">
        <v>136</v>
      </c>
      <c r="H789" t="s">
        <v>50</v>
      </c>
      <c r="I789" t="s">
        <v>254</v>
      </c>
      <c r="J789" t="s">
        <v>978</v>
      </c>
      <c r="K789" t="str">
        <f>"24623370"</f>
        <v>0</v>
      </c>
      <c r="L789">
        <v>350000</v>
      </c>
      <c r="M789"/>
      <c r="N789" t="s">
        <v>38</v>
      </c>
      <c r="O789" t="s">
        <v>38</v>
      </c>
      <c r="P789" t="s">
        <v>53</v>
      </c>
      <c r="Q789" t="s">
        <v>38</v>
      </c>
      <c r="R789" t="s">
        <v>38</v>
      </c>
      <c r="S789" t="s">
        <v>42</v>
      </c>
      <c r="T789" t="s">
        <v>42</v>
      </c>
      <c r="U789" t="s">
        <v>964</v>
      </c>
      <c r="V789" t="s">
        <v>636</v>
      </c>
      <c r="W789" t="s">
        <v>964</v>
      </c>
      <c r="X789" t="s">
        <v>824</v>
      </c>
      <c r="Y789" t="s">
        <v>965</v>
      </c>
      <c r="Z789" t="s">
        <v>47</v>
      </c>
      <c r="AA789"/>
      <c r="AB789"/>
      <c r="AC789"/>
      <c r="AD789" t="s">
        <v>638</v>
      </c>
    </row>
    <row r="790" spans="1:30">
      <c r="A790">
        <v>4110040032</v>
      </c>
      <c r="B790" t="s">
        <v>30</v>
      </c>
      <c r="C790" t="s">
        <v>88</v>
      </c>
      <c r="D790" t="s">
        <v>222</v>
      </c>
      <c r="E790" t="s">
        <v>494</v>
      </c>
      <c r="F790" t="s">
        <v>48</v>
      </c>
      <c r="G790" t="s">
        <v>280</v>
      </c>
      <c r="H790" t="s">
        <v>50</v>
      </c>
      <c r="I790" t="s">
        <v>258</v>
      </c>
      <c r="J790" t="s">
        <v>979</v>
      </c>
      <c r="K790" t="str">
        <f>"na"</f>
        <v>0</v>
      </c>
      <c r="L790">
        <v>105340</v>
      </c>
      <c r="M790"/>
      <c r="N790" t="s">
        <v>38</v>
      </c>
      <c r="O790" t="s">
        <v>38</v>
      </c>
      <c r="P790" t="s">
        <v>53</v>
      </c>
      <c r="Q790" t="s">
        <v>38</v>
      </c>
      <c r="R790" t="s">
        <v>38</v>
      </c>
      <c r="S790" t="s">
        <v>42</v>
      </c>
      <c r="T790" t="s">
        <v>42</v>
      </c>
      <c r="U790" t="s">
        <v>964</v>
      </c>
      <c r="V790" t="s">
        <v>636</v>
      </c>
      <c r="W790" t="s">
        <v>964</v>
      </c>
      <c r="X790" t="s">
        <v>824</v>
      </c>
      <c r="Y790" t="s">
        <v>965</v>
      </c>
      <c r="Z790" t="s">
        <v>47</v>
      </c>
      <c r="AA790"/>
      <c r="AB790"/>
      <c r="AC790"/>
      <c r="AD790" t="s">
        <v>638</v>
      </c>
    </row>
    <row r="791" spans="1:30">
      <c r="A791">
        <v>4110040033</v>
      </c>
      <c r="B791" t="s">
        <v>30</v>
      </c>
      <c r="C791" t="s">
        <v>88</v>
      </c>
      <c r="D791" t="s">
        <v>222</v>
      </c>
      <c r="E791" t="s">
        <v>494</v>
      </c>
      <c r="F791" t="s">
        <v>48</v>
      </c>
      <c r="G791" t="s">
        <v>136</v>
      </c>
      <c r="H791" t="s">
        <v>50</v>
      </c>
      <c r="I791" t="s">
        <v>258</v>
      </c>
      <c r="J791" t="s">
        <v>980</v>
      </c>
      <c r="K791" t="str">
        <f>"na"</f>
        <v>0</v>
      </c>
      <c r="L791">
        <v>103449</v>
      </c>
      <c r="M791"/>
      <c r="N791" t="s">
        <v>38</v>
      </c>
      <c r="O791" t="s">
        <v>38</v>
      </c>
      <c r="P791" t="s">
        <v>53</v>
      </c>
      <c r="Q791" t="s">
        <v>38</v>
      </c>
      <c r="R791" t="s">
        <v>38</v>
      </c>
      <c r="S791" t="s">
        <v>42</v>
      </c>
      <c r="T791" t="s">
        <v>42</v>
      </c>
      <c r="U791" t="s">
        <v>964</v>
      </c>
      <c r="V791" t="s">
        <v>636</v>
      </c>
      <c r="W791" t="s">
        <v>964</v>
      </c>
      <c r="X791" t="s">
        <v>824</v>
      </c>
      <c r="Y791" t="s">
        <v>965</v>
      </c>
      <c r="Z791" t="s">
        <v>47</v>
      </c>
      <c r="AA791"/>
      <c r="AB791"/>
      <c r="AC791"/>
      <c r="AD791" t="s">
        <v>638</v>
      </c>
    </row>
    <row r="792" spans="1:30">
      <c r="A792">
        <v>4110040034</v>
      </c>
      <c r="B792" t="s">
        <v>30</v>
      </c>
      <c r="C792" t="s">
        <v>88</v>
      </c>
      <c r="D792" t="s">
        <v>222</v>
      </c>
      <c r="E792" t="s">
        <v>494</v>
      </c>
      <c r="F792" t="s">
        <v>48</v>
      </c>
      <c r="G792" t="s">
        <v>136</v>
      </c>
      <c r="H792" t="s">
        <v>50</v>
      </c>
      <c r="I792" t="s">
        <v>254</v>
      </c>
      <c r="J792" t="s">
        <v>59</v>
      </c>
      <c r="K792" t="str">
        <f>"na"</f>
        <v>0</v>
      </c>
      <c r="L792">
        <v>350000</v>
      </c>
      <c r="M792"/>
      <c r="N792" t="s">
        <v>38</v>
      </c>
      <c r="O792" t="s">
        <v>38</v>
      </c>
      <c r="P792" t="s">
        <v>53</v>
      </c>
      <c r="Q792" t="s">
        <v>38</v>
      </c>
      <c r="R792" t="s">
        <v>38</v>
      </c>
      <c r="S792" t="s">
        <v>42</v>
      </c>
      <c r="T792" t="s">
        <v>42</v>
      </c>
      <c r="U792" t="s">
        <v>964</v>
      </c>
      <c r="V792" t="s">
        <v>636</v>
      </c>
      <c r="W792" t="s">
        <v>964</v>
      </c>
      <c r="X792" t="s">
        <v>824</v>
      </c>
      <c r="Y792" t="s">
        <v>965</v>
      </c>
      <c r="Z792" t="s">
        <v>47</v>
      </c>
      <c r="AA792"/>
      <c r="AB792"/>
      <c r="AC792"/>
      <c r="AD792" t="s">
        <v>638</v>
      </c>
    </row>
    <row r="793" spans="1:30">
      <c r="A793">
        <v>4110040038</v>
      </c>
      <c r="B793" t="s">
        <v>30</v>
      </c>
      <c r="C793" t="s">
        <v>88</v>
      </c>
      <c r="D793" t="s">
        <v>222</v>
      </c>
      <c r="E793" t="s">
        <v>79</v>
      </c>
      <c r="F793" t="s">
        <v>166</v>
      </c>
      <c r="G793" t="s">
        <v>247</v>
      </c>
      <c r="H793" t="s">
        <v>50</v>
      </c>
      <c r="I793" t="s">
        <v>168</v>
      </c>
      <c r="J793" t="s">
        <v>900</v>
      </c>
      <c r="K793" t="str">
        <f>"L19170925080"</f>
        <v>0</v>
      </c>
      <c r="L793">
        <v>34777</v>
      </c>
      <c r="M793"/>
      <c r="N793" t="s">
        <v>38</v>
      </c>
      <c r="O793" t="s">
        <v>38</v>
      </c>
      <c r="P793" t="s">
        <v>53</v>
      </c>
      <c r="Q793" t="s">
        <v>38</v>
      </c>
      <c r="R793" t="s">
        <v>38</v>
      </c>
      <c r="S793" t="s">
        <v>42</v>
      </c>
      <c r="T793" t="s">
        <v>42</v>
      </c>
      <c r="U793" t="s">
        <v>964</v>
      </c>
      <c r="V793" t="s">
        <v>636</v>
      </c>
      <c r="W793" t="s">
        <v>964</v>
      </c>
      <c r="X793" t="s">
        <v>824</v>
      </c>
      <c r="Y793" t="s">
        <v>965</v>
      </c>
      <c r="Z793" t="s">
        <v>47</v>
      </c>
      <c r="AA793"/>
      <c r="AB793"/>
      <c r="AC793"/>
      <c r="AD793" t="s">
        <v>638</v>
      </c>
    </row>
    <row r="794" spans="1:30">
      <c r="A794">
        <v>4110040039</v>
      </c>
      <c r="B794" t="s">
        <v>30</v>
      </c>
      <c r="C794" t="s">
        <v>88</v>
      </c>
      <c r="D794" t="s">
        <v>222</v>
      </c>
      <c r="E794" t="s">
        <v>79</v>
      </c>
      <c r="F794" t="s">
        <v>64</v>
      </c>
      <c r="G794" t="s">
        <v>99</v>
      </c>
      <c r="H794" t="s">
        <v>50</v>
      </c>
      <c r="I794" t="s">
        <v>408</v>
      </c>
      <c r="J794" t="s">
        <v>412</v>
      </c>
      <c r="K794" t="str">
        <f>"MZJ5D122632"</f>
        <v>0</v>
      </c>
      <c r="L794">
        <v>30300</v>
      </c>
      <c r="M794"/>
      <c r="N794" t="s">
        <v>38</v>
      </c>
      <c r="O794" t="s">
        <v>38</v>
      </c>
      <c r="P794" t="s">
        <v>53</v>
      </c>
      <c r="Q794" t="s">
        <v>38</v>
      </c>
      <c r="R794" t="s">
        <v>38</v>
      </c>
      <c r="S794" t="s">
        <v>42</v>
      </c>
      <c r="T794" t="s">
        <v>42</v>
      </c>
      <c r="U794" t="s">
        <v>964</v>
      </c>
      <c r="V794" t="s">
        <v>636</v>
      </c>
      <c r="W794" t="s">
        <v>964</v>
      </c>
      <c r="X794" t="s">
        <v>824</v>
      </c>
      <c r="Y794" t="s">
        <v>965</v>
      </c>
      <c r="Z794" t="s">
        <v>47</v>
      </c>
      <c r="AA794"/>
      <c r="AB794"/>
      <c r="AC794"/>
      <c r="AD794" t="s">
        <v>638</v>
      </c>
    </row>
    <row r="795" spans="1:30">
      <c r="A795">
        <v>4110040042</v>
      </c>
      <c r="B795" t="s">
        <v>30</v>
      </c>
      <c r="C795" t="s">
        <v>88</v>
      </c>
      <c r="D795" t="s">
        <v>222</v>
      </c>
      <c r="E795" t="s">
        <v>79</v>
      </c>
      <c r="F795" t="s">
        <v>143</v>
      </c>
      <c r="G795" t="s">
        <v>377</v>
      </c>
      <c r="H795" t="s">
        <v>50</v>
      </c>
      <c r="I795" t="s">
        <v>981</v>
      </c>
      <c r="J795" t="s">
        <v>59</v>
      </c>
      <c r="K795" t="str">
        <f>"na"</f>
        <v>0</v>
      </c>
      <c r="L795">
        <v>30000</v>
      </c>
      <c r="M795"/>
      <c r="N795" t="s">
        <v>38</v>
      </c>
      <c r="O795" t="s">
        <v>38</v>
      </c>
      <c r="P795" t="s">
        <v>53</v>
      </c>
      <c r="Q795" t="s">
        <v>38</v>
      </c>
      <c r="R795" t="s">
        <v>38</v>
      </c>
      <c r="S795" t="s">
        <v>42</v>
      </c>
      <c r="T795" t="s">
        <v>42</v>
      </c>
      <c r="U795" t="s">
        <v>964</v>
      </c>
      <c r="V795" t="s">
        <v>636</v>
      </c>
      <c r="W795" t="s">
        <v>964</v>
      </c>
      <c r="X795" t="s">
        <v>824</v>
      </c>
      <c r="Y795" t="s">
        <v>965</v>
      </c>
      <c r="Z795" t="s">
        <v>47</v>
      </c>
      <c r="AA795"/>
      <c r="AB795"/>
      <c r="AC795"/>
      <c r="AD795" t="s">
        <v>638</v>
      </c>
    </row>
    <row r="796" spans="1:30">
      <c r="A796">
        <v>4110040043</v>
      </c>
      <c r="B796" t="s">
        <v>30</v>
      </c>
      <c r="C796" t="s">
        <v>88</v>
      </c>
      <c r="D796" t="s">
        <v>222</v>
      </c>
      <c r="E796" t="s">
        <v>79</v>
      </c>
      <c r="F796" t="s">
        <v>143</v>
      </c>
      <c r="G796" t="s">
        <v>377</v>
      </c>
      <c r="H796" t="s">
        <v>50</v>
      </c>
      <c r="I796" t="s">
        <v>100</v>
      </c>
      <c r="J796" t="s">
        <v>59</v>
      </c>
      <c r="K796" t="str">
        <f>"na"</f>
        <v>0</v>
      </c>
      <c r="L796">
        <v>30000</v>
      </c>
      <c r="M796"/>
      <c r="N796" t="s">
        <v>38</v>
      </c>
      <c r="O796" t="s">
        <v>38</v>
      </c>
      <c r="P796" t="s">
        <v>53</v>
      </c>
      <c r="Q796" t="s">
        <v>38</v>
      </c>
      <c r="R796" t="s">
        <v>38</v>
      </c>
      <c r="S796" t="s">
        <v>42</v>
      </c>
      <c r="T796" t="s">
        <v>42</v>
      </c>
      <c r="U796" t="s">
        <v>964</v>
      </c>
      <c r="V796" t="s">
        <v>636</v>
      </c>
      <c r="W796" t="s">
        <v>964</v>
      </c>
      <c r="X796" t="s">
        <v>824</v>
      </c>
      <c r="Y796" t="s">
        <v>965</v>
      </c>
      <c r="Z796" t="s">
        <v>47</v>
      </c>
      <c r="AA796"/>
      <c r="AB796"/>
      <c r="AC796"/>
      <c r="AD796" t="s">
        <v>638</v>
      </c>
    </row>
    <row r="797" spans="1:30">
      <c r="A797">
        <v>4110040028</v>
      </c>
      <c r="B797" t="s">
        <v>30</v>
      </c>
      <c r="C797" t="s">
        <v>88</v>
      </c>
      <c r="D797" t="s">
        <v>222</v>
      </c>
      <c r="E797" t="s">
        <v>72</v>
      </c>
      <c r="F797" t="s">
        <v>147</v>
      </c>
      <c r="G797" t="s">
        <v>360</v>
      </c>
      <c r="H797" t="s">
        <v>35</v>
      </c>
      <c r="I797" t="s">
        <v>420</v>
      </c>
      <c r="J797" t="s">
        <v>700</v>
      </c>
      <c r="K797" t="str">
        <f>"48422429"</f>
        <v>0</v>
      </c>
      <c r="L797">
        <v>719000</v>
      </c>
      <c r="M797"/>
      <c r="N797" t="s">
        <v>38</v>
      </c>
      <c r="O797" t="s">
        <v>38</v>
      </c>
      <c r="P797" t="s">
        <v>53</v>
      </c>
      <c r="Q797" t="s">
        <v>38</v>
      </c>
      <c r="R797" t="s">
        <v>38</v>
      </c>
      <c r="S797" t="s">
        <v>42</v>
      </c>
      <c r="T797" t="s">
        <v>42</v>
      </c>
      <c r="U797" t="s">
        <v>982</v>
      </c>
      <c r="V797" t="s">
        <v>636</v>
      </c>
      <c r="W797" t="s">
        <v>982</v>
      </c>
      <c r="X797" t="s">
        <v>824</v>
      </c>
      <c r="Y797" t="s">
        <v>965</v>
      </c>
      <c r="Z797" t="s">
        <v>47</v>
      </c>
      <c r="AA797"/>
      <c r="AB797"/>
      <c r="AC797"/>
      <c r="AD797" t="s">
        <v>908</v>
      </c>
    </row>
    <row r="798" spans="1:30">
      <c r="A798">
        <v>4110040029</v>
      </c>
      <c r="B798" t="s">
        <v>30</v>
      </c>
      <c r="C798" t="s">
        <v>88</v>
      </c>
      <c r="D798" t="s">
        <v>222</v>
      </c>
      <c r="E798" t="s">
        <v>72</v>
      </c>
      <c r="F798" t="s">
        <v>166</v>
      </c>
      <c r="G798" t="s">
        <v>247</v>
      </c>
      <c r="H798" t="s">
        <v>50</v>
      </c>
      <c r="I798" t="s">
        <v>168</v>
      </c>
      <c r="J798" t="s">
        <v>900</v>
      </c>
      <c r="K798" t="str">
        <f>"L19170925077"</f>
        <v>0</v>
      </c>
      <c r="L798">
        <v>34777</v>
      </c>
      <c r="M798"/>
      <c r="N798" t="s">
        <v>38</v>
      </c>
      <c r="O798" t="s">
        <v>38</v>
      </c>
      <c r="P798" t="s">
        <v>53</v>
      </c>
      <c r="Q798" t="s">
        <v>38</v>
      </c>
      <c r="R798" t="s">
        <v>38</v>
      </c>
      <c r="S798" t="s">
        <v>42</v>
      </c>
      <c r="T798" t="s">
        <v>42</v>
      </c>
      <c r="U798" t="s">
        <v>982</v>
      </c>
      <c r="V798" t="s">
        <v>636</v>
      </c>
      <c r="W798" t="s">
        <v>982</v>
      </c>
      <c r="X798" t="s">
        <v>824</v>
      </c>
      <c r="Y798" t="s">
        <v>965</v>
      </c>
      <c r="Z798" t="s">
        <v>47</v>
      </c>
      <c r="AA798"/>
      <c r="AB798"/>
      <c r="AC798"/>
      <c r="AD798" t="s">
        <v>908</v>
      </c>
    </row>
    <row r="799" spans="1:30">
      <c r="A799">
        <v>4110040040</v>
      </c>
      <c r="B799" t="s">
        <v>30</v>
      </c>
      <c r="C799" t="s">
        <v>88</v>
      </c>
      <c r="D799" t="s">
        <v>222</v>
      </c>
      <c r="E799" t="s">
        <v>72</v>
      </c>
      <c r="F799" t="s">
        <v>64</v>
      </c>
      <c r="G799" t="s">
        <v>99</v>
      </c>
      <c r="H799" t="s">
        <v>50</v>
      </c>
      <c r="I799" t="s">
        <v>417</v>
      </c>
      <c r="J799" t="s">
        <v>983</v>
      </c>
      <c r="K799" t="str">
        <f>"na"</f>
        <v>0</v>
      </c>
      <c r="L799">
        <v>38047</v>
      </c>
      <c r="M799"/>
      <c r="N799" t="s">
        <v>38</v>
      </c>
      <c r="O799" t="s">
        <v>38</v>
      </c>
      <c r="P799" t="s">
        <v>53</v>
      </c>
      <c r="Q799" t="s">
        <v>38</v>
      </c>
      <c r="R799" t="s">
        <v>38</v>
      </c>
      <c r="S799" t="s">
        <v>42</v>
      </c>
      <c r="T799" t="s">
        <v>42</v>
      </c>
      <c r="U799" t="s">
        <v>982</v>
      </c>
      <c r="V799" t="s">
        <v>636</v>
      </c>
      <c r="W799" t="s">
        <v>982</v>
      </c>
      <c r="X799" t="s">
        <v>824</v>
      </c>
      <c r="Y799" t="s">
        <v>965</v>
      </c>
      <c r="Z799" t="s">
        <v>47</v>
      </c>
      <c r="AA799"/>
      <c r="AB799"/>
      <c r="AC799"/>
      <c r="AD799" t="s">
        <v>908</v>
      </c>
    </row>
    <row r="800" spans="1:30">
      <c r="A800">
        <v>4110040046</v>
      </c>
      <c r="B800" t="s">
        <v>30</v>
      </c>
      <c r="C800" t="s">
        <v>88</v>
      </c>
      <c r="D800" t="s">
        <v>222</v>
      </c>
      <c r="E800" t="s">
        <v>552</v>
      </c>
      <c r="F800" t="s">
        <v>64</v>
      </c>
      <c r="G800" t="s">
        <v>553</v>
      </c>
      <c r="H800" t="s">
        <v>50</v>
      </c>
      <c r="I800" t="s">
        <v>984</v>
      </c>
      <c r="J800" t="s">
        <v>985</v>
      </c>
      <c r="K800" t="str">
        <f>"NA"</f>
        <v>0</v>
      </c>
      <c r="L800">
        <v>333000</v>
      </c>
      <c r="M800"/>
      <c r="N800" t="s">
        <v>38</v>
      </c>
      <c r="O800" t="s">
        <v>38</v>
      </c>
      <c r="P800" t="s">
        <v>53</v>
      </c>
      <c r="Q800" t="s">
        <v>38</v>
      </c>
      <c r="R800" t="s">
        <v>38</v>
      </c>
      <c r="S800" t="s">
        <v>42</v>
      </c>
      <c r="T800" t="s">
        <v>42</v>
      </c>
      <c r="U800" t="s">
        <v>982</v>
      </c>
      <c r="V800" t="s">
        <v>636</v>
      </c>
      <c r="W800" t="s">
        <v>982</v>
      </c>
      <c r="X800" t="s">
        <v>824</v>
      </c>
      <c r="Y800" t="s">
        <v>965</v>
      </c>
      <c r="Z800" t="s">
        <v>47</v>
      </c>
      <c r="AA800"/>
      <c r="AB800"/>
      <c r="AC800"/>
      <c r="AD800" t="s">
        <v>986</v>
      </c>
    </row>
    <row r="801" spans="1:30">
      <c r="A801">
        <v>3110100104</v>
      </c>
      <c r="B801" t="s">
        <v>30</v>
      </c>
      <c r="C801" t="s">
        <v>61</v>
      </c>
      <c r="D801" t="s">
        <v>71</v>
      </c>
      <c r="E801" t="s">
        <v>55</v>
      </c>
      <c r="F801" t="s">
        <v>387</v>
      </c>
      <c r="G801" t="s">
        <v>422</v>
      </c>
      <c r="H801" t="s">
        <v>35</v>
      </c>
      <c r="I801" t="s">
        <v>987</v>
      </c>
      <c r="J801" t="s">
        <v>988</v>
      </c>
      <c r="K801" t="str">
        <f>"A03615"</f>
        <v>0</v>
      </c>
      <c r="L801">
        <v>233759</v>
      </c>
      <c r="M801"/>
      <c r="N801" t="s">
        <v>38</v>
      </c>
      <c r="O801" t="s">
        <v>38</v>
      </c>
      <c r="P801" t="s">
        <v>53</v>
      </c>
      <c r="Q801" t="s">
        <v>38</v>
      </c>
      <c r="R801" t="s">
        <v>38</v>
      </c>
      <c r="S801" t="s">
        <v>42</v>
      </c>
      <c r="T801" t="s">
        <v>42</v>
      </c>
      <c r="U801" t="s">
        <v>982</v>
      </c>
      <c r="V801" t="s">
        <v>636</v>
      </c>
      <c r="W801" t="s">
        <v>982</v>
      </c>
      <c r="X801" t="s">
        <v>824</v>
      </c>
      <c r="Y801" t="s">
        <v>989</v>
      </c>
      <c r="Z801" t="s">
        <v>47</v>
      </c>
      <c r="AA801"/>
      <c r="AB801"/>
      <c r="AC801"/>
      <c r="AD801" t="s">
        <v>638</v>
      </c>
    </row>
    <row r="802" spans="1:30">
      <c r="A802">
        <v>3110100107</v>
      </c>
      <c r="B802" t="s">
        <v>30</v>
      </c>
      <c r="C802" t="s">
        <v>61</v>
      </c>
      <c r="D802" t="s">
        <v>71</v>
      </c>
      <c r="E802" t="s">
        <v>48</v>
      </c>
      <c r="F802" t="s">
        <v>48</v>
      </c>
      <c r="G802" t="s">
        <v>203</v>
      </c>
      <c r="H802" t="s">
        <v>50</v>
      </c>
      <c r="I802" t="s">
        <v>173</v>
      </c>
      <c r="J802" t="s">
        <v>990</v>
      </c>
      <c r="K802" t="str">
        <f>"ZFJN33376"</f>
        <v>0</v>
      </c>
      <c r="L802">
        <v>36125</v>
      </c>
      <c r="M802"/>
      <c r="N802" t="s">
        <v>38</v>
      </c>
      <c r="O802" t="s">
        <v>38</v>
      </c>
      <c r="P802" t="s">
        <v>53</v>
      </c>
      <c r="Q802" t="s">
        <v>38</v>
      </c>
      <c r="R802" t="s">
        <v>38</v>
      </c>
      <c r="S802" t="s">
        <v>42</v>
      </c>
      <c r="T802" t="s">
        <v>42</v>
      </c>
      <c r="U802" t="s">
        <v>991</v>
      </c>
      <c r="V802" t="s">
        <v>636</v>
      </c>
      <c r="W802" t="s">
        <v>991</v>
      </c>
      <c r="X802" t="s">
        <v>824</v>
      </c>
      <c r="Y802" t="s">
        <v>989</v>
      </c>
      <c r="Z802" t="s">
        <v>47</v>
      </c>
      <c r="AA802"/>
      <c r="AB802"/>
      <c r="AC802"/>
      <c r="AD802" t="s">
        <v>638</v>
      </c>
    </row>
    <row r="803" spans="1:30">
      <c r="A803">
        <v>3110100108</v>
      </c>
      <c r="B803" t="s">
        <v>30</v>
      </c>
      <c r="C803" t="s">
        <v>61</v>
      </c>
      <c r="D803" t="s">
        <v>71</v>
      </c>
      <c r="E803" t="s">
        <v>48</v>
      </c>
      <c r="F803" t="s">
        <v>48</v>
      </c>
      <c r="G803" t="s">
        <v>136</v>
      </c>
      <c r="H803" t="s">
        <v>50</v>
      </c>
      <c r="I803" t="s">
        <v>254</v>
      </c>
      <c r="J803" t="s">
        <v>992</v>
      </c>
      <c r="K803" t="str">
        <f>"NA"</f>
        <v>0</v>
      </c>
      <c r="L803">
        <v>350000</v>
      </c>
      <c r="M803"/>
      <c r="N803" t="s">
        <v>38</v>
      </c>
      <c r="O803" t="s">
        <v>38</v>
      </c>
      <c r="P803" t="s">
        <v>53</v>
      </c>
      <c r="Q803" t="s">
        <v>38</v>
      </c>
      <c r="R803" t="s">
        <v>38</v>
      </c>
      <c r="S803" t="s">
        <v>42</v>
      </c>
      <c r="T803" t="s">
        <v>42</v>
      </c>
      <c r="U803" t="s">
        <v>991</v>
      </c>
      <c r="V803" t="s">
        <v>636</v>
      </c>
      <c r="W803" t="s">
        <v>991</v>
      </c>
      <c r="X803" t="s">
        <v>824</v>
      </c>
      <c r="Y803" t="s">
        <v>989</v>
      </c>
      <c r="Z803" t="s">
        <v>47</v>
      </c>
      <c r="AA803"/>
      <c r="AB803"/>
      <c r="AC803"/>
      <c r="AD803" t="s">
        <v>638</v>
      </c>
    </row>
    <row r="804" spans="1:30">
      <c r="A804">
        <v>3110100109</v>
      </c>
      <c r="B804" t="s">
        <v>30</v>
      </c>
      <c r="C804" t="s">
        <v>61</v>
      </c>
      <c r="D804" t="s">
        <v>71</v>
      </c>
      <c r="E804" t="s">
        <v>151</v>
      </c>
      <c r="F804" t="s">
        <v>152</v>
      </c>
      <c r="G804" t="s">
        <v>763</v>
      </c>
      <c r="H804" t="s">
        <v>50</v>
      </c>
      <c r="I804" t="s">
        <v>764</v>
      </c>
      <c r="J804" t="s">
        <v>315</v>
      </c>
      <c r="K804" t="str">
        <f>"na"</f>
        <v>0</v>
      </c>
      <c r="L804">
        <v>475154</v>
      </c>
      <c r="M804"/>
      <c r="N804" t="s">
        <v>38</v>
      </c>
      <c r="O804" t="s">
        <v>38</v>
      </c>
      <c r="P804" t="s">
        <v>53</v>
      </c>
      <c r="Q804" t="s">
        <v>38</v>
      </c>
      <c r="R804" t="s">
        <v>38</v>
      </c>
      <c r="S804" t="s">
        <v>42</v>
      </c>
      <c r="T804" t="s">
        <v>42</v>
      </c>
      <c r="U804" t="s">
        <v>991</v>
      </c>
      <c r="V804" t="s">
        <v>636</v>
      </c>
      <c r="W804" t="s">
        <v>991</v>
      </c>
      <c r="X804" t="s">
        <v>824</v>
      </c>
      <c r="Y804" t="s">
        <v>989</v>
      </c>
      <c r="Z804" t="s">
        <v>47</v>
      </c>
      <c r="AA804"/>
      <c r="AB804"/>
      <c r="AC804"/>
      <c r="AD804" t="s">
        <v>638</v>
      </c>
    </row>
    <row r="805" spans="1:30">
      <c r="A805">
        <v>3110100111</v>
      </c>
      <c r="B805" t="s">
        <v>30</v>
      </c>
      <c r="C805" t="s">
        <v>61</v>
      </c>
      <c r="D805" t="s">
        <v>71</v>
      </c>
      <c r="E805" t="s">
        <v>151</v>
      </c>
      <c r="F805" t="s">
        <v>48</v>
      </c>
      <c r="G805" t="s">
        <v>570</v>
      </c>
      <c r="H805" t="s">
        <v>50</v>
      </c>
      <c r="I805" t="s">
        <v>912</v>
      </c>
      <c r="J805" t="s">
        <v>993</v>
      </c>
      <c r="K805" t="str">
        <f>"DR1309390"</f>
        <v>0</v>
      </c>
      <c r="L805">
        <v>25000</v>
      </c>
      <c r="M805"/>
      <c r="N805" t="s">
        <v>38</v>
      </c>
      <c r="O805" t="s">
        <v>38</v>
      </c>
      <c r="P805" t="s">
        <v>53</v>
      </c>
      <c r="Q805" t="s">
        <v>38</v>
      </c>
      <c r="R805" t="s">
        <v>38</v>
      </c>
      <c r="S805" t="s">
        <v>42</v>
      </c>
      <c r="T805" t="s">
        <v>42</v>
      </c>
      <c r="U805" t="s">
        <v>991</v>
      </c>
      <c r="V805" t="s">
        <v>636</v>
      </c>
      <c r="W805" t="s">
        <v>991</v>
      </c>
      <c r="X805" t="s">
        <v>824</v>
      </c>
      <c r="Y805" t="s">
        <v>989</v>
      </c>
      <c r="Z805" t="s">
        <v>47</v>
      </c>
      <c r="AA805"/>
      <c r="AB805"/>
      <c r="AC805"/>
      <c r="AD805" t="s">
        <v>638</v>
      </c>
    </row>
    <row r="806" spans="1:30">
      <c r="A806">
        <v>3110100112</v>
      </c>
      <c r="B806" t="s">
        <v>30</v>
      </c>
      <c r="C806" t="s">
        <v>61</v>
      </c>
      <c r="D806" t="s">
        <v>71</v>
      </c>
      <c r="E806" t="s">
        <v>151</v>
      </c>
      <c r="F806" t="s">
        <v>152</v>
      </c>
      <c r="G806" t="s">
        <v>994</v>
      </c>
      <c r="H806" t="s">
        <v>50</v>
      </c>
      <c r="I806" t="s">
        <v>100</v>
      </c>
      <c r="J806" t="s">
        <v>59</v>
      </c>
      <c r="K806" t="str">
        <f>"na"</f>
        <v>0</v>
      </c>
      <c r="L806">
        <v>30000</v>
      </c>
      <c r="M806"/>
      <c r="N806" t="s">
        <v>38</v>
      </c>
      <c r="O806" t="s">
        <v>38</v>
      </c>
      <c r="P806" t="s">
        <v>53</v>
      </c>
      <c r="Q806" t="s">
        <v>38</v>
      </c>
      <c r="R806" t="s">
        <v>38</v>
      </c>
      <c r="S806" t="s">
        <v>42</v>
      </c>
      <c r="T806" t="s">
        <v>42</v>
      </c>
      <c r="U806" t="s">
        <v>991</v>
      </c>
      <c r="V806" t="s">
        <v>636</v>
      </c>
      <c r="W806" t="s">
        <v>991</v>
      </c>
      <c r="X806" t="s">
        <v>824</v>
      </c>
      <c r="Y806" t="s">
        <v>989</v>
      </c>
      <c r="Z806" t="s">
        <v>47</v>
      </c>
      <c r="AA806"/>
      <c r="AB806"/>
      <c r="AC806"/>
      <c r="AD806" t="s">
        <v>638</v>
      </c>
    </row>
    <row r="807" spans="1:30">
      <c r="A807">
        <v>3110100114</v>
      </c>
      <c r="B807" t="s">
        <v>30</v>
      </c>
      <c r="C807" t="s">
        <v>61</v>
      </c>
      <c r="D807" t="s">
        <v>71</v>
      </c>
      <c r="E807" t="s">
        <v>339</v>
      </c>
      <c r="F807" t="s">
        <v>340</v>
      </c>
      <c r="G807" t="s">
        <v>734</v>
      </c>
      <c r="H807" t="s">
        <v>50</v>
      </c>
      <c r="I807" t="s">
        <v>737</v>
      </c>
      <c r="J807" t="s">
        <v>995</v>
      </c>
      <c r="K807" t="str">
        <f>"8HA08A18L0026"</f>
        <v>0</v>
      </c>
      <c r="L807">
        <v>449000</v>
      </c>
      <c r="M807"/>
      <c r="N807" t="s">
        <v>38</v>
      </c>
      <c r="O807" t="s">
        <v>38</v>
      </c>
      <c r="P807" t="s">
        <v>53</v>
      </c>
      <c r="Q807" t="s">
        <v>38</v>
      </c>
      <c r="R807" t="s">
        <v>38</v>
      </c>
      <c r="S807" t="s">
        <v>42</v>
      </c>
      <c r="T807" t="s">
        <v>42</v>
      </c>
      <c r="U807" t="s">
        <v>991</v>
      </c>
      <c r="V807" t="s">
        <v>636</v>
      </c>
      <c r="W807" t="s">
        <v>991</v>
      </c>
      <c r="X807" t="s">
        <v>824</v>
      </c>
      <c r="Y807" t="s">
        <v>989</v>
      </c>
      <c r="Z807" t="s">
        <v>47</v>
      </c>
      <c r="AA807"/>
      <c r="AB807"/>
      <c r="AC807"/>
      <c r="AD807" t="s">
        <v>638</v>
      </c>
    </row>
    <row r="808" spans="1:30">
      <c r="A808">
        <v>3110100115</v>
      </c>
      <c r="B808" t="s">
        <v>30</v>
      </c>
      <c r="C808" t="s">
        <v>61</v>
      </c>
      <c r="D808" t="s">
        <v>71</v>
      </c>
      <c r="E808" t="s">
        <v>339</v>
      </c>
      <c r="F808" t="s">
        <v>340</v>
      </c>
      <c r="G808" t="s">
        <v>739</v>
      </c>
      <c r="H808" t="s">
        <v>50</v>
      </c>
      <c r="I808" t="s">
        <v>740</v>
      </c>
      <c r="J808" t="s">
        <v>996</v>
      </c>
      <c r="K808" t="str">
        <f>"na"</f>
        <v>0</v>
      </c>
      <c r="L808">
        <v>175000</v>
      </c>
      <c r="M808"/>
      <c r="N808" t="s">
        <v>38</v>
      </c>
      <c r="O808" t="s">
        <v>38</v>
      </c>
      <c r="P808" t="s">
        <v>53</v>
      </c>
      <c r="Q808" t="s">
        <v>38</v>
      </c>
      <c r="R808" t="s">
        <v>38</v>
      </c>
      <c r="S808" t="s">
        <v>42</v>
      </c>
      <c r="T808" t="s">
        <v>42</v>
      </c>
      <c r="U808" t="s">
        <v>991</v>
      </c>
      <c r="V808" t="s">
        <v>636</v>
      </c>
      <c r="W808" t="s">
        <v>991</v>
      </c>
      <c r="X808" t="s">
        <v>824</v>
      </c>
      <c r="Y808" t="s">
        <v>989</v>
      </c>
      <c r="Z808" t="s">
        <v>47</v>
      </c>
      <c r="AA808"/>
      <c r="AB808"/>
      <c r="AC808"/>
      <c r="AD808" t="s">
        <v>638</v>
      </c>
    </row>
    <row r="809" spans="1:30">
      <c r="A809">
        <v>3110100116</v>
      </c>
      <c r="B809" t="s">
        <v>30</v>
      </c>
      <c r="C809" t="s">
        <v>61</v>
      </c>
      <c r="D809" t="s">
        <v>71</v>
      </c>
      <c r="E809" t="s">
        <v>339</v>
      </c>
      <c r="F809" t="s">
        <v>340</v>
      </c>
      <c r="G809" t="s">
        <v>681</v>
      </c>
      <c r="H809" t="s">
        <v>50</v>
      </c>
      <c r="I809" t="s">
        <v>393</v>
      </c>
      <c r="J809" t="s">
        <v>997</v>
      </c>
      <c r="K809" t="str">
        <f>"na"</f>
        <v>0</v>
      </c>
      <c r="L809">
        <v>94500</v>
      </c>
      <c r="M809"/>
      <c r="N809" t="s">
        <v>38</v>
      </c>
      <c r="O809" t="s">
        <v>38</v>
      </c>
      <c r="P809" t="s">
        <v>53</v>
      </c>
      <c r="Q809" t="s">
        <v>38</v>
      </c>
      <c r="R809" t="s">
        <v>38</v>
      </c>
      <c r="S809" t="s">
        <v>42</v>
      </c>
      <c r="T809" t="s">
        <v>42</v>
      </c>
      <c r="U809" t="s">
        <v>991</v>
      </c>
      <c r="V809" t="s">
        <v>636</v>
      </c>
      <c r="W809" t="s">
        <v>991</v>
      </c>
      <c r="X809" t="s">
        <v>824</v>
      </c>
      <c r="Y809" t="s">
        <v>989</v>
      </c>
      <c r="Z809" t="s">
        <v>47</v>
      </c>
      <c r="AA809"/>
      <c r="AB809"/>
      <c r="AC809"/>
      <c r="AD809" t="s">
        <v>638</v>
      </c>
    </row>
    <row r="810" spans="1:30">
      <c r="A810">
        <v>3110100117</v>
      </c>
      <c r="B810" t="s">
        <v>30</v>
      </c>
      <c r="C810" t="s">
        <v>61</v>
      </c>
      <c r="D810" t="s">
        <v>71</v>
      </c>
      <c r="E810" t="s">
        <v>339</v>
      </c>
      <c r="F810" t="s">
        <v>340</v>
      </c>
      <c r="G810" t="s">
        <v>665</v>
      </c>
      <c r="H810" t="s">
        <v>50</v>
      </c>
      <c r="I810" t="s">
        <v>783</v>
      </c>
      <c r="J810" t="s">
        <v>998</v>
      </c>
      <c r="K810" t="str">
        <f>"01369"</f>
        <v>0</v>
      </c>
      <c r="L810">
        <v>325000</v>
      </c>
      <c r="M810"/>
      <c r="N810" t="s">
        <v>38</v>
      </c>
      <c r="O810" t="s">
        <v>38</v>
      </c>
      <c r="P810" t="s">
        <v>53</v>
      </c>
      <c r="Q810" t="s">
        <v>38</v>
      </c>
      <c r="R810" t="s">
        <v>38</v>
      </c>
      <c r="S810" t="s">
        <v>42</v>
      </c>
      <c r="T810" t="s">
        <v>42</v>
      </c>
      <c r="U810" t="s">
        <v>991</v>
      </c>
      <c r="V810" t="s">
        <v>636</v>
      </c>
      <c r="W810" t="s">
        <v>991</v>
      </c>
      <c r="X810" t="s">
        <v>824</v>
      </c>
      <c r="Y810" t="s">
        <v>989</v>
      </c>
      <c r="Z810" t="s">
        <v>47</v>
      </c>
      <c r="AA810"/>
      <c r="AB810"/>
      <c r="AC810"/>
      <c r="AD810" t="s">
        <v>638</v>
      </c>
    </row>
    <row r="811" spans="1:30">
      <c r="A811">
        <v>3110100118</v>
      </c>
      <c r="B811" t="s">
        <v>30</v>
      </c>
      <c r="C811" t="s">
        <v>61</v>
      </c>
      <c r="D811" t="s">
        <v>71</v>
      </c>
      <c r="E811" t="s">
        <v>339</v>
      </c>
      <c r="F811" t="s">
        <v>340</v>
      </c>
      <c r="G811" t="s">
        <v>999</v>
      </c>
      <c r="H811" t="s">
        <v>50</v>
      </c>
      <c r="I811" t="s">
        <v>100</v>
      </c>
      <c r="J811" t="s">
        <v>59</v>
      </c>
      <c r="K811" t="str">
        <f>"na"</f>
        <v>0</v>
      </c>
      <c r="L811">
        <v>120000</v>
      </c>
      <c r="M811"/>
      <c r="N811" t="s">
        <v>38</v>
      </c>
      <c r="O811" t="s">
        <v>38</v>
      </c>
      <c r="P811" t="s">
        <v>53</v>
      </c>
      <c r="Q811" t="s">
        <v>38</v>
      </c>
      <c r="R811" t="s">
        <v>38</v>
      </c>
      <c r="S811" t="s">
        <v>266</v>
      </c>
      <c r="T811" t="s">
        <v>266</v>
      </c>
      <c r="U811" t="s">
        <v>991</v>
      </c>
      <c r="V811" t="s">
        <v>636</v>
      </c>
      <c r="W811" t="s">
        <v>991</v>
      </c>
      <c r="X811" t="s">
        <v>824</v>
      </c>
      <c r="Y811" t="s">
        <v>989</v>
      </c>
      <c r="Z811" t="s">
        <v>70</v>
      </c>
      <c r="AA811"/>
      <c r="AB811"/>
      <c r="AC811"/>
      <c r="AD811" t="s">
        <v>638</v>
      </c>
    </row>
    <row r="812" spans="1:30">
      <c r="A812">
        <v>3110100119</v>
      </c>
      <c r="B812" t="s">
        <v>30</v>
      </c>
      <c r="C812" t="s">
        <v>61</v>
      </c>
      <c r="D812" t="s">
        <v>71</v>
      </c>
      <c r="E812" t="s">
        <v>339</v>
      </c>
      <c r="F812" t="s">
        <v>340</v>
      </c>
      <c r="G812" t="s">
        <v>728</v>
      </c>
      <c r="H812" t="s">
        <v>50</v>
      </c>
      <c r="I812" t="s">
        <v>729</v>
      </c>
      <c r="J812" t="s">
        <v>730</v>
      </c>
      <c r="K812" t="str">
        <f>"NA"</f>
        <v>0</v>
      </c>
      <c r="L812">
        <v>303570</v>
      </c>
      <c r="M812"/>
      <c r="N812" t="s">
        <v>38</v>
      </c>
      <c r="O812" t="s">
        <v>38</v>
      </c>
      <c r="P812" t="s">
        <v>53</v>
      </c>
      <c r="Q812" t="s">
        <v>38</v>
      </c>
      <c r="R812" t="s">
        <v>38</v>
      </c>
      <c r="S812" t="s">
        <v>266</v>
      </c>
      <c r="T812" t="s">
        <v>266</v>
      </c>
      <c r="U812" t="s">
        <v>1000</v>
      </c>
      <c r="V812" t="s">
        <v>636</v>
      </c>
      <c r="W812" t="s">
        <v>1000</v>
      </c>
      <c r="X812" t="s">
        <v>824</v>
      </c>
      <c r="Y812" t="s">
        <v>989</v>
      </c>
      <c r="Z812" t="s">
        <v>70</v>
      </c>
      <c r="AA812"/>
      <c r="AB812"/>
      <c r="AC812"/>
      <c r="AD812" t="s">
        <v>638</v>
      </c>
    </row>
    <row r="813" spans="1:30">
      <c r="A813">
        <v>3110100123</v>
      </c>
      <c r="B813" t="s">
        <v>30</v>
      </c>
      <c r="C813" t="s">
        <v>61</v>
      </c>
      <c r="D813" t="s">
        <v>71</v>
      </c>
      <c r="E813" t="s">
        <v>842</v>
      </c>
      <c r="F813" t="s">
        <v>33</v>
      </c>
      <c r="G813" t="s">
        <v>843</v>
      </c>
      <c r="H813" t="s">
        <v>35</v>
      </c>
      <c r="I813" t="s">
        <v>962</v>
      </c>
      <c r="J813" t="s">
        <v>1001</v>
      </c>
      <c r="K813" t="str">
        <f>"86730897"</f>
        <v>0</v>
      </c>
      <c r="L813">
        <v>950000</v>
      </c>
      <c r="M813"/>
      <c r="N813" t="s">
        <v>38</v>
      </c>
      <c r="O813" t="s">
        <v>38</v>
      </c>
      <c r="P813" t="s">
        <v>53</v>
      </c>
      <c r="Q813" t="s">
        <v>38</v>
      </c>
      <c r="R813" t="s">
        <v>38</v>
      </c>
      <c r="S813" t="s">
        <v>42</v>
      </c>
      <c r="T813" t="s">
        <v>42</v>
      </c>
      <c r="U813" t="s">
        <v>1000</v>
      </c>
      <c r="V813" t="s">
        <v>636</v>
      </c>
      <c r="W813" t="s">
        <v>1000</v>
      </c>
      <c r="X813" t="s">
        <v>824</v>
      </c>
      <c r="Y813" t="s">
        <v>989</v>
      </c>
      <c r="Z813" t="s">
        <v>47</v>
      </c>
      <c r="AA813"/>
      <c r="AB813"/>
      <c r="AC813"/>
      <c r="AD813" t="s">
        <v>638</v>
      </c>
    </row>
    <row r="814" spans="1:30">
      <c r="A814">
        <v>3110100122</v>
      </c>
      <c r="B814" t="s">
        <v>30</v>
      </c>
      <c r="C814" t="s">
        <v>61</v>
      </c>
      <c r="D814" t="s">
        <v>71</v>
      </c>
      <c r="E814" t="s">
        <v>842</v>
      </c>
      <c r="F814" t="s">
        <v>33</v>
      </c>
      <c r="G814" t="s">
        <v>623</v>
      </c>
      <c r="H814" t="s">
        <v>35</v>
      </c>
      <c r="I814" t="s">
        <v>855</v>
      </c>
      <c r="J814" t="s">
        <v>856</v>
      </c>
      <c r="K814" t="str">
        <f>"5510"</f>
        <v>0</v>
      </c>
      <c r="L814">
        <v>228000</v>
      </c>
      <c r="M814"/>
      <c r="N814" t="s">
        <v>38</v>
      </c>
      <c r="O814" t="s">
        <v>38</v>
      </c>
      <c r="P814" t="s">
        <v>53</v>
      </c>
      <c r="Q814" t="s">
        <v>38</v>
      </c>
      <c r="R814" t="s">
        <v>38</v>
      </c>
      <c r="S814" t="s">
        <v>42</v>
      </c>
      <c r="T814" t="s">
        <v>42</v>
      </c>
      <c r="U814" t="s">
        <v>1000</v>
      </c>
      <c r="V814" t="s">
        <v>636</v>
      </c>
      <c r="W814" t="s">
        <v>1000</v>
      </c>
      <c r="X814" t="s">
        <v>824</v>
      </c>
      <c r="Y814" t="s">
        <v>989</v>
      </c>
      <c r="Z814" t="s">
        <v>47</v>
      </c>
      <c r="AA814"/>
      <c r="AB814"/>
      <c r="AC814"/>
      <c r="AD814" t="s">
        <v>638</v>
      </c>
    </row>
    <row r="815" spans="1:30">
      <c r="A815">
        <v>3110100124</v>
      </c>
      <c r="B815" t="s">
        <v>30</v>
      </c>
      <c r="C815" t="s">
        <v>61</v>
      </c>
      <c r="D815" t="s">
        <v>71</v>
      </c>
      <c r="E815" t="s">
        <v>842</v>
      </c>
      <c r="F815" t="s">
        <v>33</v>
      </c>
      <c r="G815" t="s">
        <v>850</v>
      </c>
      <c r="H815" t="s">
        <v>50</v>
      </c>
      <c r="I815" t="s">
        <v>262</v>
      </c>
      <c r="J815" t="s">
        <v>1002</v>
      </c>
      <c r="K815" t="str">
        <f>"2K19100457"</f>
        <v>0</v>
      </c>
      <c r="L815">
        <v>853912</v>
      </c>
      <c r="M815"/>
      <c r="N815" t="s">
        <v>38</v>
      </c>
      <c r="O815" t="s">
        <v>38</v>
      </c>
      <c r="P815" t="s">
        <v>53</v>
      </c>
      <c r="Q815" t="s">
        <v>38</v>
      </c>
      <c r="R815" t="s">
        <v>38</v>
      </c>
      <c r="S815" t="s">
        <v>42</v>
      </c>
      <c r="T815" t="s">
        <v>42</v>
      </c>
      <c r="U815" t="s">
        <v>1000</v>
      </c>
      <c r="V815" t="s">
        <v>636</v>
      </c>
      <c r="W815" t="s">
        <v>1000</v>
      </c>
      <c r="X815" t="s">
        <v>824</v>
      </c>
      <c r="Y815" t="s">
        <v>989</v>
      </c>
      <c r="Z815" t="s">
        <v>47</v>
      </c>
      <c r="AA815"/>
      <c r="AB815"/>
      <c r="AC815"/>
      <c r="AD815" t="s">
        <v>638</v>
      </c>
    </row>
    <row r="816" spans="1:30">
      <c r="A816">
        <v>3110100125</v>
      </c>
      <c r="B816" t="s">
        <v>30</v>
      </c>
      <c r="C816" t="s">
        <v>61</v>
      </c>
      <c r="D816" t="s">
        <v>71</v>
      </c>
      <c r="E816" t="s">
        <v>842</v>
      </c>
      <c r="F816" t="s">
        <v>33</v>
      </c>
      <c r="G816" t="s">
        <v>717</v>
      </c>
      <c r="H816" t="s">
        <v>50</v>
      </c>
      <c r="I816" t="s">
        <v>262</v>
      </c>
      <c r="J816" t="s">
        <v>1003</v>
      </c>
      <c r="K816" t="str">
        <f>"2K21030940-DX/HF"</f>
        <v>0</v>
      </c>
      <c r="L816">
        <v>820837</v>
      </c>
      <c r="M816"/>
      <c r="N816" t="s">
        <v>38</v>
      </c>
      <c r="O816" t="s">
        <v>38</v>
      </c>
      <c r="P816" t="s">
        <v>53</v>
      </c>
      <c r="Q816" t="s">
        <v>1004</v>
      </c>
      <c r="R816" t="s">
        <v>1005</v>
      </c>
      <c r="S816" t="s">
        <v>42</v>
      </c>
      <c r="T816" t="s">
        <v>42</v>
      </c>
      <c r="U816" t="s">
        <v>1000</v>
      </c>
      <c r="V816" t="s">
        <v>636</v>
      </c>
      <c r="W816" t="s">
        <v>1000</v>
      </c>
      <c r="X816" t="s">
        <v>824</v>
      </c>
      <c r="Y816" t="s">
        <v>989</v>
      </c>
      <c r="Z816" t="s">
        <v>47</v>
      </c>
      <c r="AA816"/>
      <c r="AB816"/>
      <c r="AC816"/>
      <c r="AD816" t="s">
        <v>638</v>
      </c>
    </row>
    <row r="817" spans="1:30">
      <c r="A817">
        <v>3110100130</v>
      </c>
      <c r="B817" t="s">
        <v>30</v>
      </c>
      <c r="C817" t="s">
        <v>61</v>
      </c>
      <c r="D817" t="s">
        <v>71</v>
      </c>
      <c r="E817" t="s">
        <v>210</v>
      </c>
      <c r="F817" t="s">
        <v>64</v>
      </c>
      <c r="G817" t="s">
        <v>99</v>
      </c>
      <c r="H817" t="s">
        <v>50</v>
      </c>
      <c r="I817" t="s">
        <v>408</v>
      </c>
      <c r="J817" t="s">
        <v>409</v>
      </c>
      <c r="K817" t="str">
        <f>"MZJ10D48424"</f>
        <v>0</v>
      </c>
      <c r="L817">
        <v>86400</v>
      </c>
      <c r="M817"/>
      <c r="N817" t="s">
        <v>38</v>
      </c>
      <c r="O817" t="s">
        <v>38</v>
      </c>
      <c r="P817" t="s">
        <v>53</v>
      </c>
      <c r="Q817" t="s">
        <v>38</v>
      </c>
      <c r="R817" t="s">
        <v>38</v>
      </c>
      <c r="S817" t="s">
        <v>42</v>
      </c>
      <c r="T817" t="s">
        <v>42</v>
      </c>
      <c r="U817" t="s">
        <v>1000</v>
      </c>
      <c r="V817" t="s">
        <v>636</v>
      </c>
      <c r="W817" t="s">
        <v>1000</v>
      </c>
      <c r="X817" t="s">
        <v>824</v>
      </c>
      <c r="Y817" t="s">
        <v>989</v>
      </c>
      <c r="Z817" t="s">
        <v>47</v>
      </c>
      <c r="AA817"/>
      <c r="AB817"/>
      <c r="AC817"/>
      <c r="AD817" t="s">
        <v>638</v>
      </c>
    </row>
    <row r="818" spans="1:30">
      <c r="A818">
        <v>3110100139</v>
      </c>
      <c r="B818" t="s">
        <v>30</v>
      </c>
      <c r="C818" t="s">
        <v>61</v>
      </c>
      <c r="D818" t="s">
        <v>71</v>
      </c>
      <c r="E818" t="s">
        <v>48</v>
      </c>
      <c r="F818" t="s">
        <v>48</v>
      </c>
      <c r="G818" t="s">
        <v>203</v>
      </c>
      <c r="H818" t="s">
        <v>50</v>
      </c>
      <c r="I818" t="s">
        <v>173</v>
      </c>
      <c r="J818" t="s">
        <v>1006</v>
      </c>
      <c r="K818" t="str">
        <f>"ZEJN33377"</f>
        <v>0</v>
      </c>
      <c r="L818">
        <v>36125</v>
      </c>
      <c r="M818"/>
      <c r="N818" t="s">
        <v>38</v>
      </c>
      <c r="O818" t="s">
        <v>38</v>
      </c>
      <c r="P818" t="s">
        <v>53</v>
      </c>
      <c r="Q818" t="s">
        <v>38</v>
      </c>
      <c r="R818" t="s">
        <v>38</v>
      </c>
      <c r="S818" t="s">
        <v>42</v>
      </c>
      <c r="T818" t="s">
        <v>42</v>
      </c>
      <c r="U818" t="s">
        <v>1000</v>
      </c>
      <c r="V818" t="s">
        <v>636</v>
      </c>
      <c r="W818" t="s">
        <v>1000</v>
      </c>
      <c r="X818" t="s">
        <v>824</v>
      </c>
      <c r="Y818" t="s">
        <v>989</v>
      </c>
      <c r="Z818" t="s">
        <v>47</v>
      </c>
      <c r="AA818"/>
      <c r="AB818"/>
      <c r="AC818"/>
      <c r="AD818" t="s">
        <v>638</v>
      </c>
    </row>
    <row r="819" spans="1:30">
      <c r="A819">
        <v>3110100140</v>
      </c>
      <c r="B819" t="s">
        <v>30</v>
      </c>
      <c r="C819" t="s">
        <v>61</v>
      </c>
      <c r="D819" t="s">
        <v>71</v>
      </c>
      <c r="E819" t="s">
        <v>48</v>
      </c>
      <c r="F819" t="s">
        <v>48</v>
      </c>
      <c r="G819" t="s">
        <v>431</v>
      </c>
      <c r="H819" t="s">
        <v>35</v>
      </c>
      <c r="I819" t="s">
        <v>621</v>
      </c>
      <c r="J819" t="s">
        <v>1007</v>
      </c>
      <c r="K819" t="str">
        <f>"na"</f>
        <v>0</v>
      </c>
      <c r="L819">
        <v>375000</v>
      </c>
      <c r="M819"/>
      <c r="N819" t="s">
        <v>38</v>
      </c>
      <c r="O819" t="s">
        <v>38</v>
      </c>
      <c r="P819" t="s">
        <v>53</v>
      </c>
      <c r="Q819" t="s">
        <v>38</v>
      </c>
      <c r="R819" t="s">
        <v>38</v>
      </c>
      <c r="S819" t="s">
        <v>42</v>
      </c>
      <c r="T819" t="s">
        <v>42</v>
      </c>
      <c r="U819" t="s">
        <v>1000</v>
      </c>
      <c r="V819" t="s">
        <v>636</v>
      </c>
      <c r="W819" t="s">
        <v>1000</v>
      </c>
      <c r="X819" t="s">
        <v>824</v>
      </c>
      <c r="Y819" t="s">
        <v>989</v>
      </c>
      <c r="Z819" t="s">
        <v>47</v>
      </c>
      <c r="AA819"/>
      <c r="AB819"/>
      <c r="AC819"/>
      <c r="AD819" t="s">
        <v>638</v>
      </c>
    </row>
    <row r="820" spans="1:30">
      <c r="A820">
        <v>3110100141</v>
      </c>
      <c r="B820" t="s">
        <v>30</v>
      </c>
      <c r="C820" t="s">
        <v>61</v>
      </c>
      <c r="D820" t="s">
        <v>71</v>
      </c>
      <c r="E820" t="s">
        <v>48</v>
      </c>
      <c r="F820" t="s">
        <v>48</v>
      </c>
      <c r="G820" t="s">
        <v>431</v>
      </c>
      <c r="H820" t="s">
        <v>35</v>
      </c>
      <c r="I820" t="s">
        <v>594</v>
      </c>
      <c r="J820" t="s">
        <v>1008</v>
      </c>
      <c r="K820" t="str">
        <f>"102ES0H17409"</f>
        <v>0</v>
      </c>
      <c r="L820">
        <v>247500</v>
      </c>
      <c r="M820"/>
      <c r="N820" t="s">
        <v>38</v>
      </c>
      <c r="O820" t="s">
        <v>38</v>
      </c>
      <c r="P820" t="s">
        <v>53</v>
      </c>
      <c r="Q820" t="s">
        <v>38</v>
      </c>
      <c r="R820" t="s">
        <v>38</v>
      </c>
      <c r="S820" t="s">
        <v>42</v>
      </c>
      <c r="T820" t="s">
        <v>42</v>
      </c>
      <c r="U820" t="s">
        <v>1000</v>
      </c>
      <c r="V820" t="s">
        <v>636</v>
      </c>
      <c r="W820" t="s">
        <v>1000</v>
      </c>
      <c r="X820" t="s">
        <v>824</v>
      </c>
      <c r="Y820" t="s">
        <v>989</v>
      </c>
      <c r="Z820" t="s">
        <v>47</v>
      </c>
      <c r="AA820"/>
      <c r="AB820"/>
      <c r="AC820"/>
      <c r="AD820" t="s">
        <v>638</v>
      </c>
    </row>
    <row r="821" spans="1:30">
      <c r="A821">
        <v>3110100142</v>
      </c>
      <c r="B821" t="s">
        <v>30</v>
      </c>
      <c r="C821" t="s">
        <v>61</v>
      </c>
      <c r="D821" t="s">
        <v>71</v>
      </c>
      <c r="E821" t="s">
        <v>48</v>
      </c>
      <c r="F821" t="s">
        <v>48</v>
      </c>
      <c r="G821" t="s">
        <v>620</v>
      </c>
      <c r="H821" t="s">
        <v>50</v>
      </c>
      <c r="I821" t="s">
        <v>621</v>
      </c>
      <c r="J821" t="s">
        <v>974</v>
      </c>
      <c r="K821" t="str">
        <f>"na"</f>
        <v>0</v>
      </c>
      <c r="L821">
        <v>100000</v>
      </c>
      <c r="M821"/>
      <c r="N821" t="s">
        <v>38</v>
      </c>
      <c r="O821" t="s">
        <v>38</v>
      </c>
      <c r="P821" t="s">
        <v>53</v>
      </c>
      <c r="Q821" t="s">
        <v>38</v>
      </c>
      <c r="R821" t="s">
        <v>38</v>
      </c>
      <c r="S821" t="s">
        <v>42</v>
      </c>
      <c r="T821" t="s">
        <v>42</v>
      </c>
      <c r="U821" t="s">
        <v>1000</v>
      </c>
      <c r="V821" t="s">
        <v>636</v>
      </c>
      <c r="W821" t="s">
        <v>1000</v>
      </c>
      <c r="X821" t="s">
        <v>824</v>
      </c>
      <c r="Y821" t="s">
        <v>989</v>
      </c>
      <c r="Z821" t="s">
        <v>47</v>
      </c>
      <c r="AA821"/>
      <c r="AB821"/>
      <c r="AC821"/>
      <c r="AD821" t="s">
        <v>638</v>
      </c>
    </row>
    <row r="822" spans="1:30">
      <c r="A822">
        <v>3110100143</v>
      </c>
      <c r="B822" t="s">
        <v>30</v>
      </c>
      <c r="C822" t="s">
        <v>61</v>
      </c>
      <c r="D822" t="s">
        <v>71</v>
      </c>
      <c r="E822" t="s">
        <v>48</v>
      </c>
      <c r="F822" t="s">
        <v>48</v>
      </c>
      <c r="G822" t="s">
        <v>620</v>
      </c>
      <c r="H822" t="s">
        <v>50</v>
      </c>
      <c r="I822" t="s">
        <v>621</v>
      </c>
      <c r="J822" t="s">
        <v>974</v>
      </c>
      <c r="K822" t="str">
        <f>"na"</f>
        <v>0</v>
      </c>
      <c r="L822">
        <v>100000</v>
      </c>
      <c r="M822"/>
      <c r="N822" t="s">
        <v>38</v>
      </c>
      <c r="O822" t="s">
        <v>38</v>
      </c>
      <c r="P822" t="s">
        <v>53</v>
      </c>
      <c r="Q822" t="s">
        <v>38</v>
      </c>
      <c r="R822" t="s">
        <v>38</v>
      </c>
      <c r="S822" t="s">
        <v>42</v>
      </c>
      <c r="T822" t="s">
        <v>42</v>
      </c>
      <c r="U822" t="s">
        <v>1000</v>
      </c>
      <c r="V822" t="s">
        <v>636</v>
      </c>
      <c r="W822" t="s">
        <v>1000</v>
      </c>
      <c r="X822" t="s">
        <v>824</v>
      </c>
      <c r="Y822" t="s">
        <v>989</v>
      </c>
      <c r="Z822" t="s">
        <v>47</v>
      </c>
      <c r="AA822"/>
      <c r="AB822"/>
      <c r="AC822"/>
      <c r="AD822" t="s">
        <v>638</v>
      </c>
    </row>
    <row r="823" spans="1:30">
      <c r="A823">
        <v>3110100144</v>
      </c>
      <c r="B823" t="s">
        <v>30</v>
      </c>
      <c r="C823" t="s">
        <v>61</v>
      </c>
      <c r="D823" t="s">
        <v>71</v>
      </c>
      <c r="E823" t="s">
        <v>48</v>
      </c>
      <c r="F823" t="s">
        <v>48</v>
      </c>
      <c r="G823" t="s">
        <v>453</v>
      </c>
      <c r="H823" t="s">
        <v>50</v>
      </c>
      <c r="I823" t="s">
        <v>454</v>
      </c>
      <c r="J823" t="s">
        <v>315</v>
      </c>
      <c r="K823" t="str">
        <f>"na"</f>
        <v>0</v>
      </c>
      <c r="L823">
        <v>27991</v>
      </c>
      <c r="M823"/>
      <c r="N823" t="s">
        <v>38</v>
      </c>
      <c r="O823" t="s">
        <v>38</v>
      </c>
      <c r="P823" t="s">
        <v>53</v>
      </c>
      <c r="Q823" t="s">
        <v>38</v>
      </c>
      <c r="R823" t="s">
        <v>38</v>
      </c>
      <c r="S823" t="s">
        <v>266</v>
      </c>
      <c r="T823" t="s">
        <v>266</v>
      </c>
      <c r="U823" t="s">
        <v>1000</v>
      </c>
      <c r="V823" t="s">
        <v>636</v>
      </c>
      <c r="W823" t="s">
        <v>1000</v>
      </c>
      <c r="X823" t="s">
        <v>824</v>
      </c>
      <c r="Y823" t="s">
        <v>989</v>
      </c>
      <c r="Z823" t="s">
        <v>70</v>
      </c>
      <c r="AA823"/>
      <c r="AB823"/>
      <c r="AC823"/>
      <c r="AD823" t="s">
        <v>638</v>
      </c>
    </row>
    <row r="824" spans="1:30">
      <c r="A824">
        <v>3110100145</v>
      </c>
      <c r="B824" t="s">
        <v>30</v>
      </c>
      <c r="C824" t="s">
        <v>61</v>
      </c>
      <c r="D824" t="s">
        <v>71</v>
      </c>
      <c r="E824" t="s">
        <v>48</v>
      </c>
      <c r="F824" t="s">
        <v>48</v>
      </c>
      <c r="G824" t="s">
        <v>712</v>
      </c>
      <c r="H824" t="s">
        <v>50</v>
      </c>
      <c r="I824" t="s">
        <v>1009</v>
      </c>
      <c r="J824" t="s">
        <v>59</v>
      </c>
      <c r="K824" t="str">
        <f>"na"</f>
        <v>0</v>
      </c>
      <c r="L824">
        <v>61065</v>
      </c>
      <c r="M824"/>
      <c r="N824" t="s">
        <v>38</v>
      </c>
      <c r="O824" t="s">
        <v>38</v>
      </c>
      <c r="P824" t="s">
        <v>53</v>
      </c>
      <c r="Q824" t="s">
        <v>38</v>
      </c>
      <c r="R824" t="s">
        <v>38</v>
      </c>
      <c r="S824" t="s">
        <v>42</v>
      </c>
      <c r="T824" t="s">
        <v>42</v>
      </c>
      <c r="U824" t="s">
        <v>1000</v>
      </c>
      <c r="V824" t="s">
        <v>636</v>
      </c>
      <c r="W824" t="s">
        <v>1000</v>
      </c>
      <c r="X824" t="s">
        <v>824</v>
      </c>
      <c r="Y824" t="s">
        <v>989</v>
      </c>
      <c r="Z824" t="s">
        <v>47</v>
      </c>
      <c r="AA824"/>
      <c r="AB824"/>
      <c r="AC824"/>
      <c r="AD824" t="s">
        <v>710</v>
      </c>
    </row>
    <row r="825" spans="1:30">
      <c r="A825">
        <v>3110100146</v>
      </c>
      <c r="B825" t="s">
        <v>30</v>
      </c>
      <c r="C825" t="s">
        <v>61</v>
      </c>
      <c r="D825" t="s">
        <v>71</v>
      </c>
      <c r="E825" t="s">
        <v>48</v>
      </c>
      <c r="F825" t="s">
        <v>48</v>
      </c>
      <c r="G825" t="s">
        <v>858</v>
      </c>
      <c r="H825" t="s">
        <v>35</v>
      </c>
      <c r="I825" t="s">
        <v>621</v>
      </c>
      <c r="J825" t="s">
        <v>1010</v>
      </c>
      <c r="K825" t="str">
        <f>"60593"</f>
        <v>0</v>
      </c>
      <c r="L825">
        <v>1045000</v>
      </c>
      <c r="M825"/>
      <c r="N825" t="s">
        <v>38</v>
      </c>
      <c r="O825" t="s">
        <v>38</v>
      </c>
      <c r="P825" t="s">
        <v>53</v>
      </c>
      <c r="Q825" t="s">
        <v>38</v>
      </c>
      <c r="R825" t="s">
        <v>38</v>
      </c>
      <c r="S825" t="s">
        <v>42</v>
      </c>
      <c r="T825" t="s">
        <v>42</v>
      </c>
      <c r="U825" t="s">
        <v>1000</v>
      </c>
      <c r="V825" t="s">
        <v>636</v>
      </c>
      <c r="W825" t="s">
        <v>1000</v>
      </c>
      <c r="X825" t="s">
        <v>824</v>
      </c>
      <c r="Y825" t="s">
        <v>989</v>
      </c>
      <c r="Z825" t="s">
        <v>47</v>
      </c>
      <c r="AA825"/>
      <c r="AB825"/>
      <c r="AC825"/>
      <c r="AD825" t="s">
        <v>638</v>
      </c>
    </row>
    <row r="826" spans="1:30">
      <c r="A826">
        <v>3110100147</v>
      </c>
      <c r="B826" t="s">
        <v>30</v>
      </c>
      <c r="C826" t="s">
        <v>61</v>
      </c>
      <c r="D826" t="s">
        <v>71</v>
      </c>
      <c r="E826" t="s">
        <v>48</v>
      </c>
      <c r="F826" t="s">
        <v>48</v>
      </c>
      <c r="G826" t="s">
        <v>203</v>
      </c>
      <c r="H826" t="s">
        <v>50</v>
      </c>
      <c r="I826" t="s">
        <v>173</v>
      </c>
      <c r="J826" t="s">
        <v>1011</v>
      </c>
      <c r="K826" t="str">
        <f>"ZIAN02622"</f>
        <v>0</v>
      </c>
      <c r="L826">
        <v>30975</v>
      </c>
      <c r="M826"/>
      <c r="N826" t="s">
        <v>38</v>
      </c>
      <c r="O826" t="s">
        <v>38</v>
      </c>
      <c r="P826" t="s">
        <v>53</v>
      </c>
      <c r="Q826" t="s">
        <v>38</v>
      </c>
      <c r="R826" t="s">
        <v>38</v>
      </c>
      <c r="S826" t="s">
        <v>42</v>
      </c>
      <c r="T826" t="s">
        <v>42</v>
      </c>
      <c r="U826" t="s">
        <v>1000</v>
      </c>
      <c r="V826" t="s">
        <v>636</v>
      </c>
      <c r="W826" t="s">
        <v>1000</v>
      </c>
      <c r="X826" t="s">
        <v>824</v>
      </c>
      <c r="Y826" t="s">
        <v>989</v>
      </c>
      <c r="Z826" t="s">
        <v>47</v>
      </c>
      <c r="AA826"/>
      <c r="AB826"/>
      <c r="AC826"/>
      <c r="AD826" t="s">
        <v>638</v>
      </c>
    </row>
    <row r="827" spans="1:30">
      <c r="A827">
        <v>3110100148</v>
      </c>
      <c r="B827" t="s">
        <v>30</v>
      </c>
      <c r="C827" t="s">
        <v>61</v>
      </c>
      <c r="D827" t="s">
        <v>71</v>
      </c>
      <c r="E827" t="s">
        <v>48</v>
      </c>
      <c r="F827" t="s">
        <v>48</v>
      </c>
      <c r="G827" t="s">
        <v>158</v>
      </c>
      <c r="H827" t="s">
        <v>50</v>
      </c>
      <c r="I827" t="s">
        <v>945</v>
      </c>
      <c r="J827" t="s">
        <v>1012</v>
      </c>
      <c r="K827" t="str">
        <f>"na"</f>
        <v>0</v>
      </c>
      <c r="L827">
        <v>241000</v>
      </c>
      <c r="M827"/>
      <c r="N827" t="s">
        <v>38</v>
      </c>
      <c r="O827" t="s">
        <v>38</v>
      </c>
      <c r="P827" t="s">
        <v>53</v>
      </c>
      <c r="Q827" t="s">
        <v>38</v>
      </c>
      <c r="R827" t="s">
        <v>38</v>
      </c>
      <c r="S827" t="s">
        <v>42</v>
      </c>
      <c r="T827" t="s">
        <v>42</v>
      </c>
      <c r="U827" t="s">
        <v>1000</v>
      </c>
      <c r="V827" t="s">
        <v>636</v>
      </c>
      <c r="W827" t="s">
        <v>1000</v>
      </c>
      <c r="X827" t="s">
        <v>824</v>
      </c>
      <c r="Y827" t="s">
        <v>989</v>
      </c>
      <c r="Z827" t="s">
        <v>47</v>
      </c>
      <c r="AA827"/>
      <c r="AB827"/>
      <c r="AC827"/>
      <c r="AD827" t="s">
        <v>638</v>
      </c>
    </row>
    <row r="828" spans="1:30">
      <c r="A828">
        <v>3110100149</v>
      </c>
      <c r="B828" t="s">
        <v>30</v>
      </c>
      <c r="C828" t="s">
        <v>61</v>
      </c>
      <c r="D828" t="s">
        <v>71</v>
      </c>
      <c r="E828" t="s">
        <v>48</v>
      </c>
      <c r="F828" t="s">
        <v>48</v>
      </c>
      <c r="G828" t="s">
        <v>589</v>
      </c>
      <c r="H828" t="s">
        <v>35</v>
      </c>
      <c r="I828" t="s">
        <v>1013</v>
      </c>
      <c r="J828" t="s">
        <v>1014</v>
      </c>
      <c r="K828" t="str">
        <f>"U01A01200"</f>
        <v>0</v>
      </c>
      <c r="L828">
        <v>236655</v>
      </c>
      <c r="M828"/>
      <c r="N828" t="s">
        <v>38</v>
      </c>
      <c r="O828" t="s">
        <v>38</v>
      </c>
      <c r="P828" t="s">
        <v>53</v>
      </c>
      <c r="Q828" t="s">
        <v>38</v>
      </c>
      <c r="R828" t="s">
        <v>38</v>
      </c>
      <c r="S828" t="s">
        <v>266</v>
      </c>
      <c r="T828" t="s">
        <v>266</v>
      </c>
      <c r="U828" t="s">
        <v>1015</v>
      </c>
      <c r="V828" t="s">
        <v>636</v>
      </c>
      <c r="W828" t="s">
        <v>1015</v>
      </c>
      <c r="X828" t="s">
        <v>824</v>
      </c>
      <c r="Y828" t="s">
        <v>989</v>
      </c>
      <c r="Z828" t="s">
        <v>70</v>
      </c>
      <c r="AA828"/>
      <c r="AB828"/>
      <c r="AC828"/>
      <c r="AD828" t="s">
        <v>710</v>
      </c>
    </row>
    <row r="829" spans="1:30">
      <c r="A829">
        <v>3110100150</v>
      </c>
      <c r="B829" t="s">
        <v>30</v>
      </c>
      <c r="C829" t="s">
        <v>61</v>
      </c>
      <c r="D829" t="s">
        <v>71</v>
      </c>
      <c r="E829" t="s">
        <v>48</v>
      </c>
      <c r="F829" t="s">
        <v>48</v>
      </c>
      <c r="G829" t="s">
        <v>646</v>
      </c>
      <c r="H829" t="s">
        <v>50</v>
      </c>
      <c r="I829" t="s">
        <v>592</v>
      </c>
      <c r="J829" t="s">
        <v>315</v>
      </c>
      <c r="K829" t="str">
        <f>"na"</f>
        <v>0</v>
      </c>
      <c r="L829">
        <v>30000</v>
      </c>
      <c r="M829"/>
      <c r="N829" t="s">
        <v>38</v>
      </c>
      <c r="O829" t="s">
        <v>38</v>
      </c>
      <c r="P829" t="s">
        <v>53</v>
      </c>
      <c r="Q829" t="s">
        <v>38</v>
      </c>
      <c r="R829" t="s">
        <v>38</v>
      </c>
      <c r="S829" t="s">
        <v>42</v>
      </c>
      <c r="T829" t="s">
        <v>42</v>
      </c>
      <c r="U829" t="s">
        <v>1015</v>
      </c>
      <c r="V829" t="s">
        <v>636</v>
      </c>
      <c r="W829" t="s">
        <v>1015</v>
      </c>
      <c r="X829" t="s">
        <v>824</v>
      </c>
      <c r="Y829" t="s">
        <v>989</v>
      </c>
      <c r="Z829" t="s">
        <v>47</v>
      </c>
      <c r="AA829"/>
      <c r="AB829"/>
      <c r="AC829"/>
      <c r="AD829" t="s">
        <v>710</v>
      </c>
    </row>
    <row r="830" spans="1:30">
      <c r="A830">
        <v>3110100152</v>
      </c>
      <c r="B830" t="s">
        <v>30</v>
      </c>
      <c r="C830" t="s">
        <v>61</v>
      </c>
      <c r="D830" t="s">
        <v>71</v>
      </c>
      <c r="E830" t="s">
        <v>48</v>
      </c>
      <c r="F830" t="s">
        <v>48</v>
      </c>
      <c r="G830" t="s">
        <v>203</v>
      </c>
      <c r="H830" t="s">
        <v>50</v>
      </c>
      <c r="I830" t="s">
        <v>1016</v>
      </c>
      <c r="J830" t="s">
        <v>59</v>
      </c>
      <c r="K830" t="str">
        <f>"na"</f>
        <v>0</v>
      </c>
      <c r="L830">
        <v>20000</v>
      </c>
      <c r="M830"/>
      <c r="N830" t="s">
        <v>38</v>
      </c>
      <c r="O830" t="s">
        <v>38</v>
      </c>
      <c r="P830" t="s">
        <v>53</v>
      </c>
      <c r="Q830" t="s">
        <v>38</v>
      </c>
      <c r="R830" t="s">
        <v>38</v>
      </c>
      <c r="S830" t="s">
        <v>266</v>
      </c>
      <c r="T830" t="s">
        <v>266</v>
      </c>
      <c r="U830" t="s">
        <v>1015</v>
      </c>
      <c r="V830" t="s">
        <v>636</v>
      </c>
      <c r="W830" t="s">
        <v>1015</v>
      </c>
      <c r="X830" t="s">
        <v>824</v>
      </c>
      <c r="Y830" t="s">
        <v>989</v>
      </c>
      <c r="Z830" t="s">
        <v>70</v>
      </c>
      <c r="AA830"/>
      <c r="AB830"/>
      <c r="AC830"/>
      <c r="AD830" t="s">
        <v>710</v>
      </c>
    </row>
    <row r="831" spans="1:30">
      <c r="A831">
        <v>2110060002</v>
      </c>
      <c r="B831" t="s">
        <v>30</v>
      </c>
      <c r="C831" t="s">
        <v>88</v>
      </c>
      <c r="D831" t="s">
        <v>89</v>
      </c>
      <c r="E831" t="s">
        <v>48</v>
      </c>
      <c r="F831" t="s">
        <v>48</v>
      </c>
      <c r="G831" t="s">
        <v>431</v>
      </c>
      <c r="H831" t="s">
        <v>35</v>
      </c>
      <c r="I831" t="s">
        <v>594</v>
      </c>
      <c r="J831" t="s">
        <v>1017</v>
      </c>
      <c r="K831" t="str">
        <f>"202ESOH19450"</f>
        <v>0</v>
      </c>
      <c r="L831">
        <v>247500</v>
      </c>
      <c r="M831"/>
      <c r="N831" t="s">
        <v>1018</v>
      </c>
      <c r="O831" t="s">
        <v>38</v>
      </c>
      <c r="P831" t="s">
        <v>53</v>
      </c>
      <c r="Q831" t="s">
        <v>1018</v>
      </c>
      <c r="R831" t="s">
        <v>1019</v>
      </c>
      <c r="S831" t="s">
        <v>42</v>
      </c>
      <c r="T831" t="s">
        <v>42</v>
      </c>
      <c r="U831" t="s">
        <v>1020</v>
      </c>
      <c r="V831" t="s">
        <v>636</v>
      </c>
      <c r="W831" t="s">
        <v>1020</v>
      </c>
      <c r="X831" t="s">
        <v>824</v>
      </c>
      <c r="Y831" t="s">
        <v>848</v>
      </c>
      <c r="Z831" t="s">
        <v>47</v>
      </c>
      <c r="AA831"/>
      <c r="AB831"/>
      <c r="AC831"/>
      <c r="AD831"/>
    </row>
    <row r="832" spans="1:30">
      <c r="A832">
        <v>3110090001</v>
      </c>
      <c r="B832" t="s">
        <v>30</v>
      </c>
      <c r="C832" t="s">
        <v>61</v>
      </c>
      <c r="D832" t="s">
        <v>133</v>
      </c>
      <c r="E832" t="s">
        <v>48</v>
      </c>
      <c r="F832" t="s">
        <v>48</v>
      </c>
      <c r="G832" t="s">
        <v>620</v>
      </c>
      <c r="H832" t="s">
        <v>50</v>
      </c>
      <c r="I832" t="s">
        <v>621</v>
      </c>
      <c r="J832" t="s">
        <v>622</v>
      </c>
      <c r="K832" t="str">
        <f>"n1403_79"</f>
        <v>0</v>
      </c>
      <c r="L832">
        <v>100000</v>
      </c>
      <c r="M832"/>
      <c r="N832" t="s">
        <v>38</v>
      </c>
      <c r="O832" t="s">
        <v>38</v>
      </c>
      <c r="P832" t="s">
        <v>53</v>
      </c>
      <c r="Q832" t="s">
        <v>38</v>
      </c>
      <c r="R832" t="s">
        <v>38</v>
      </c>
      <c r="S832" t="s">
        <v>42</v>
      </c>
      <c r="T832" t="s">
        <v>42</v>
      </c>
      <c r="U832" t="s">
        <v>1021</v>
      </c>
      <c r="V832" t="s">
        <v>1022</v>
      </c>
      <c r="W832" t="s">
        <v>1021</v>
      </c>
      <c r="X832" t="s">
        <v>824</v>
      </c>
      <c r="Y832" t="s">
        <v>1023</v>
      </c>
      <c r="Z832" t="s">
        <v>47</v>
      </c>
      <c r="AA832"/>
      <c r="AB832"/>
      <c r="AC832"/>
      <c r="AD832"/>
    </row>
    <row r="833" spans="1:30">
      <c r="A833">
        <v>3110090002</v>
      </c>
      <c r="B833" t="s">
        <v>30</v>
      </c>
      <c r="C833" t="s">
        <v>61</v>
      </c>
      <c r="D833" t="s">
        <v>133</v>
      </c>
      <c r="E833" t="s">
        <v>48</v>
      </c>
      <c r="F833" t="s">
        <v>48</v>
      </c>
      <c r="G833" t="s">
        <v>620</v>
      </c>
      <c r="H833" t="s">
        <v>50</v>
      </c>
      <c r="I833" t="s">
        <v>621</v>
      </c>
      <c r="J833" t="s">
        <v>622</v>
      </c>
      <c r="K833" t="str">
        <f>"s191070"</f>
        <v>0</v>
      </c>
      <c r="L833">
        <v>100000</v>
      </c>
      <c r="M833"/>
      <c r="N833" t="s">
        <v>38</v>
      </c>
      <c r="O833" t="s">
        <v>38</v>
      </c>
      <c r="P833" t="s">
        <v>53</v>
      </c>
      <c r="Q833" t="s">
        <v>38</v>
      </c>
      <c r="R833" t="s">
        <v>38</v>
      </c>
      <c r="S833" t="s">
        <v>42</v>
      </c>
      <c r="T833" t="s">
        <v>42</v>
      </c>
      <c r="U833" t="s">
        <v>1021</v>
      </c>
      <c r="V833" t="s">
        <v>1022</v>
      </c>
      <c r="W833" t="s">
        <v>1021</v>
      </c>
      <c r="X833" t="s">
        <v>824</v>
      </c>
      <c r="Y833" t="s">
        <v>1023</v>
      </c>
      <c r="Z833" t="s">
        <v>47</v>
      </c>
      <c r="AA833"/>
      <c r="AB833"/>
      <c r="AC833"/>
      <c r="AD833"/>
    </row>
    <row r="834" spans="1:30">
      <c r="A834">
        <v>3110090003</v>
      </c>
      <c r="B834" t="s">
        <v>30</v>
      </c>
      <c r="C834" t="s">
        <v>61</v>
      </c>
      <c r="D834" t="s">
        <v>133</v>
      </c>
      <c r="E834" t="s">
        <v>48</v>
      </c>
      <c r="F834" t="s">
        <v>48</v>
      </c>
      <c r="G834" t="s">
        <v>530</v>
      </c>
      <c r="H834" t="s">
        <v>50</v>
      </c>
      <c r="I834" t="s">
        <v>375</v>
      </c>
      <c r="J834" t="s">
        <v>59</v>
      </c>
      <c r="K834" t="str">
        <f>"na"</f>
        <v>0</v>
      </c>
      <c r="L834">
        <v>48000</v>
      </c>
      <c r="M834"/>
      <c r="N834" t="s">
        <v>38</v>
      </c>
      <c r="O834" t="s">
        <v>38</v>
      </c>
      <c r="P834" t="s">
        <v>53</v>
      </c>
      <c r="Q834" t="s">
        <v>38</v>
      </c>
      <c r="R834" t="s">
        <v>38</v>
      </c>
      <c r="S834" t="s">
        <v>42</v>
      </c>
      <c r="T834" t="s">
        <v>42</v>
      </c>
      <c r="U834" t="s">
        <v>1021</v>
      </c>
      <c r="V834" t="s">
        <v>1022</v>
      </c>
      <c r="W834" t="s">
        <v>1021</v>
      </c>
      <c r="X834" t="s">
        <v>824</v>
      </c>
      <c r="Y834" t="s">
        <v>1023</v>
      </c>
      <c r="Z834" t="s">
        <v>47</v>
      </c>
      <c r="AA834"/>
      <c r="AB834"/>
      <c r="AC834"/>
      <c r="AD834"/>
    </row>
    <row r="835" spans="1:30">
      <c r="A835">
        <v>3110090004</v>
      </c>
      <c r="B835" t="s">
        <v>30</v>
      </c>
      <c r="C835" t="s">
        <v>61</v>
      </c>
      <c r="D835" t="s">
        <v>133</v>
      </c>
      <c r="E835" t="s">
        <v>48</v>
      </c>
      <c r="F835" t="s">
        <v>48</v>
      </c>
      <c r="G835" t="s">
        <v>712</v>
      </c>
      <c r="H835" t="s">
        <v>50</v>
      </c>
      <c r="I835" t="s">
        <v>375</v>
      </c>
      <c r="J835" t="s">
        <v>315</v>
      </c>
      <c r="K835" t="str">
        <f>"na"</f>
        <v>0</v>
      </c>
      <c r="L835">
        <v>61065</v>
      </c>
      <c r="M835"/>
      <c r="N835" t="s">
        <v>38</v>
      </c>
      <c r="O835" t="s">
        <v>38</v>
      </c>
      <c r="P835" t="s">
        <v>53</v>
      </c>
      <c r="Q835" t="s">
        <v>38</v>
      </c>
      <c r="R835" t="s">
        <v>38</v>
      </c>
      <c r="S835" t="s">
        <v>42</v>
      </c>
      <c r="T835" t="s">
        <v>42</v>
      </c>
      <c r="U835" t="s">
        <v>1021</v>
      </c>
      <c r="V835" t="s">
        <v>1022</v>
      </c>
      <c r="W835" t="s">
        <v>1021</v>
      </c>
      <c r="X835" t="s">
        <v>824</v>
      </c>
      <c r="Y835" t="s">
        <v>1023</v>
      </c>
      <c r="Z835" t="s">
        <v>47</v>
      </c>
      <c r="AA835"/>
      <c r="AB835"/>
      <c r="AC835"/>
      <c r="AD835"/>
    </row>
    <row r="836" spans="1:30">
      <c r="A836">
        <v>3110090005</v>
      </c>
      <c r="B836" t="s">
        <v>30</v>
      </c>
      <c r="C836" t="s">
        <v>61</v>
      </c>
      <c r="D836" t="s">
        <v>133</v>
      </c>
      <c r="E836" t="s">
        <v>48</v>
      </c>
      <c r="F836" t="s">
        <v>48</v>
      </c>
      <c r="G836" t="s">
        <v>203</v>
      </c>
      <c r="H836" t="s">
        <v>50</v>
      </c>
      <c r="I836" t="s">
        <v>173</v>
      </c>
      <c r="J836" t="s">
        <v>1024</v>
      </c>
      <c r="K836" t="str">
        <f>"na"</f>
        <v>0</v>
      </c>
      <c r="L836">
        <v>36125</v>
      </c>
      <c r="M836"/>
      <c r="N836" t="s">
        <v>38</v>
      </c>
      <c r="O836" t="s">
        <v>38</v>
      </c>
      <c r="P836" t="s">
        <v>53</v>
      </c>
      <c r="Q836" t="s">
        <v>38</v>
      </c>
      <c r="R836" t="s">
        <v>38</v>
      </c>
      <c r="S836" t="s">
        <v>42</v>
      </c>
      <c r="T836" t="s">
        <v>42</v>
      </c>
      <c r="U836" t="s">
        <v>1021</v>
      </c>
      <c r="V836" t="s">
        <v>1022</v>
      </c>
      <c r="W836" t="s">
        <v>1021</v>
      </c>
      <c r="X836" t="s">
        <v>824</v>
      </c>
      <c r="Y836" t="s">
        <v>1023</v>
      </c>
      <c r="Z836" t="s">
        <v>47</v>
      </c>
      <c r="AA836"/>
      <c r="AB836"/>
      <c r="AC836"/>
      <c r="AD836"/>
    </row>
    <row r="837" spans="1:30">
      <c r="A837">
        <v>3110090006</v>
      </c>
      <c r="B837" t="s">
        <v>30</v>
      </c>
      <c r="C837" t="s">
        <v>61</v>
      </c>
      <c r="D837" t="s">
        <v>133</v>
      </c>
      <c r="E837" t="s">
        <v>48</v>
      </c>
      <c r="F837" t="s">
        <v>48</v>
      </c>
      <c r="G837" t="s">
        <v>85</v>
      </c>
      <c r="H837" t="s">
        <v>50</v>
      </c>
      <c r="I837" t="s">
        <v>832</v>
      </c>
      <c r="J837" t="s">
        <v>1025</v>
      </c>
      <c r="K837" t="str">
        <f>"na"</f>
        <v>0</v>
      </c>
      <c r="L837">
        <v>30000</v>
      </c>
      <c r="M837"/>
      <c r="N837" t="s">
        <v>38</v>
      </c>
      <c r="O837" t="s">
        <v>38</v>
      </c>
      <c r="P837" t="s">
        <v>53</v>
      </c>
      <c r="Q837" t="s">
        <v>38</v>
      </c>
      <c r="R837" t="s">
        <v>38</v>
      </c>
      <c r="S837" t="s">
        <v>42</v>
      </c>
      <c r="T837" t="s">
        <v>42</v>
      </c>
      <c r="U837" t="s">
        <v>1021</v>
      </c>
      <c r="V837" t="s">
        <v>1022</v>
      </c>
      <c r="W837" t="s">
        <v>1021</v>
      </c>
      <c r="X837" t="s">
        <v>824</v>
      </c>
      <c r="Y837" t="s">
        <v>1023</v>
      </c>
      <c r="Z837" t="s">
        <v>47</v>
      </c>
      <c r="AA837"/>
      <c r="AB837"/>
      <c r="AC837"/>
      <c r="AD837"/>
    </row>
    <row r="838" spans="1:30">
      <c r="A838">
        <v>3110090007</v>
      </c>
      <c r="B838" t="s">
        <v>30</v>
      </c>
      <c r="C838" t="s">
        <v>61</v>
      </c>
      <c r="D838" t="s">
        <v>133</v>
      </c>
      <c r="E838" t="s">
        <v>48</v>
      </c>
      <c r="F838" t="s">
        <v>48</v>
      </c>
      <c r="G838" t="s">
        <v>334</v>
      </c>
      <c r="H838" t="s">
        <v>35</v>
      </c>
      <c r="I838" t="s">
        <v>688</v>
      </c>
      <c r="J838" t="s">
        <v>1026</v>
      </c>
      <c r="K838" t="str">
        <f>"2575_36/01/2017"</f>
        <v>0</v>
      </c>
      <c r="L838">
        <v>370000</v>
      </c>
      <c r="M838"/>
      <c r="N838" t="s">
        <v>38</v>
      </c>
      <c r="O838" t="s">
        <v>38</v>
      </c>
      <c r="P838" t="s">
        <v>53</v>
      </c>
      <c r="Q838" t="s">
        <v>38</v>
      </c>
      <c r="R838" t="s">
        <v>38</v>
      </c>
      <c r="S838" t="s">
        <v>42</v>
      </c>
      <c r="T838" t="s">
        <v>42</v>
      </c>
      <c r="U838" t="s">
        <v>1021</v>
      </c>
      <c r="V838" t="s">
        <v>1022</v>
      </c>
      <c r="W838" t="s">
        <v>1021</v>
      </c>
      <c r="X838" t="s">
        <v>824</v>
      </c>
      <c r="Y838" t="s">
        <v>1023</v>
      </c>
      <c r="Z838" t="s">
        <v>47</v>
      </c>
      <c r="AA838"/>
      <c r="AB838"/>
      <c r="AC838"/>
      <c r="AD838"/>
    </row>
    <row r="839" spans="1:30">
      <c r="A839">
        <v>3110090008</v>
      </c>
      <c r="B839" t="s">
        <v>30</v>
      </c>
      <c r="C839" t="s">
        <v>61</v>
      </c>
      <c r="D839" t="s">
        <v>133</v>
      </c>
      <c r="E839" t="s">
        <v>118</v>
      </c>
      <c r="F839" t="s">
        <v>48</v>
      </c>
      <c r="G839" t="s">
        <v>136</v>
      </c>
      <c r="H839" t="s">
        <v>50</v>
      </c>
      <c r="I839" t="s">
        <v>254</v>
      </c>
      <c r="J839" t="s">
        <v>1027</v>
      </c>
      <c r="K839" t="str">
        <f>"90405871"</f>
        <v>0</v>
      </c>
      <c r="L839">
        <v>350000</v>
      </c>
      <c r="M839"/>
      <c r="N839" t="s">
        <v>38</v>
      </c>
      <c r="O839" t="s">
        <v>38</v>
      </c>
      <c r="P839" t="s">
        <v>53</v>
      </c>
      <c r="Q839" t="s">
        <v>38</v>
      </c>
      <c r="R839" t="s">
        <v>38</v>
      </c>
      <c r="S839" t="s">
        <v>42</v>
      </c>
      <c r="T839" t="s">
        <v>42</v>
      </c>
      <c r="U839" t="s">
        <v>1021</v>
      </c>
      <c r="V839" t="s">
        <v>1022</v>
      </c>
      <c r="W839" t="s">
        <v>1021</v>
      </c>
      <c r="X839" t="s">
        <v>824</v>
      </c>
      <c r="Y839" t="s">
        <v>1023</v>
      </c>
      <c r="Z839" t="s">
        <v>47</v>
      </c>
      <c r="AA839"/>
      <c r="AB839"/>
      <c r="AC839"/>
      <c r="AD839"/>
    </row>
    <row r="840" spans="1:30">
      <c r="A840">
        <v>3110090009</v>
      </c>
      <c r="B840" t="s">
        <v>30</v>
      </c>
      <c r="C840" t="s">
        <v>61</v>
      </c>
      <c r="D840" t="s">
        <v>133</v>
      </c>
      <c r="E840" t="s">
        <v>118</v>
      </c>
      <c r="F840" t="s">
        <v>48</v>
      </c>
      <c r="G840" t="s">
        <v>203</v>
      </c>
      <c r="H840" t="s">
        <v>50</v>
      </c>
      <c r="I840" t="s">
        <v>375</v>
      </c>
      <c r="J840" t="s">
        <v>59</v>
      </c>
      <c r="K840" t="str">
        <f>"na"</f>
        <v>0</v>
      </c>
      <c r="L840">
        <v>20000</v>
      </c>
      <c r="M840"/>
      <c r="N840" t="s">
        <v>38</v>
      </c>
      <c r="O840" t="s">
        <v>38</v>
      </c>
      <c r="P840" t="s">
        <v>53</v>
      </c>
      <c r="Q840" t="s">
        <v>38</v>
      </c>
      <c r="R840" t="s">
        <v>38</v>
      </c>
      <c r="S840" t="s">
        <v>42</v>
      </c>
      <c r="T840" t="s">
        <v>42</v>
      </c>
      <c r="U840" t="s">
        <v>1021</v>
      </c>
      <c r="V840" t="s">
        <v>1022</v>
      </c>
      <c r="W840" t="s">
        <v>1021</v>
      </c>
      <c r="X840" t="s">
        <v>824</v>
      </c>
      <c r="Y840" t="s">
        <v>1023</v>
      </c>
      <c r="Z840" t="s">
        <v>47</v>
      </c>
      <c r="AA840"/>
      <c r="AB840"/>
      <c r="AC840"/>
      <c r="AD840"/>
    </row>
    <row r="841" spans="1:30">
      <c r="A841">
        <v>3110090010</v>
      </c>
      <c r="B841" t="s">
        <v>30</v>
      </c>
      <c r="C841" t="s">
        <v>61</v>
      </c>
      <c r="D841" t="s">
        <v>133</v>
      </c>
      <c r="E841" t="s">
        <v>135</v>
      </c>
      <c r="F841" t="s">
        <v>48</v>
      </c>
      <c r="G841" t="s">
        <v>203</v>
      </c>
      <c r="H841" t="s">
        <v>50</v>
      </c>
      <c r="I841" t="s">
        <v>375</v>
      </c>
      <c r="J841" t="s">
        <v>59</v>
      </c>
      <c r="K841" t="str">
        <f>"na"</f>
        <v>0</v>
      </c>
      <c r="L841">
        <v>20000</v>
      </c>
      <c r="M841"/>
      <c r="N841" t="s">
        <v>38</v>
      </c>
      <c r="O841" t="s">
        <v>38</v>
      </c>
      <c r="P841" t="s">
        <v>53</v>
      </c>
      <c r="Q841" t="s">
        <v>38</v>
      </c>
      <c r="R841" t="s">
        <v>38</v>
      </c>
      <c r="S841" t="s">
        <v>42</v>
      </c>
      <c r="T841" t="s">
        <v>42</v>
      </c>
      <c r="U841" t="s">
        <v>1021</v>
      </c>
      <c r="V841" t="s">
        <v>1022</v>
      </c>
      <c r="W841" t="s">
        <v>1021</v>
      </c>
      <c r="X841" t="s">
        <v>824</v>
      </c>
      <c r="Y841" t="s">
        <v>1023</v>
      </c>
      <c r="Z841" t="s">
        <v>47</v>
      </c>
      <c r="AA841"/>
      <c r="AB841"/>
      <c r="AC841"/>
      <c r="AD841"/>
    </row>
    <row r="842" spans="1:30">
      <c r="A842">
        <v>3110090011</v>
      </c>
      <c r="B842" t="s">
        <v>30</v>
      </c>
      <c r="C842" t="s">
        <v>61</v>
      </c>
      <c r="D842" t="s">
        <v>133</v>
      </c>
      <c r="E842" t="s">
        <v>842</v>
      </c>
      <c r="F842" t="s">
        <v>33</v>
      </c>
      <c r="G842" t="s">
        <v>843</v>
      </c>
      <c r="H842" t="s">
        <v>35</v>
      </c>
      <c r="I842" t="s">
        <v>962</v>
      </c>
      <c r="J842" t="s">
        <v>1028</v>
      </c>
      <c r="K842" t="str">
        <f>"8674_1197/964633_35"</f>
        <v>0</v>
      </c>
      <c r="L842">
        <v>950000</v>
      </c>
      <c r="M842"/>
      <c r="N842" t="s">
        <v>38</v>
      </c>
      <c r="O842" t="s">
        <v>38</v>
      </c>
      <c r="P842" t="s">
        <v>53</v>
      </c>
      <c r="Q842" t="s">
        <v>38</v>
      </c>
      <c r="R842" t="s">
        <v>38</v>
      </c>
      <c r="S842" t="s">
        <v>42</v>
      </c>
      <c r="T842" t="s">
        <v>42</v>
      </c>
      <c r="U842" t="s">
        <v>1021</v>
      </c>
      <c r="V842" t="s">
        <v>1022</v>
      </c>
      <c r="W842" t="s">
        <v>1021</v>
      </c>
      <c r="X842" t="s">
        <v>824</v>
      </c>
      <c r="Y842" t="s">
        <v>1023</v>
      </c>
      <c r="Z842" t="s">
        <v>47</v>
      </c>
      <c r="AA842"/>
      <c r="AB842"/>
      <c r="AC842"/>
      <c r="AD842"/>
    </row>
    <row r="843" spans="1:30">
      <c r="A843">
        <v>3110090012</v>
      </c>
      <c r="B843" t="s">
        <v>30</v>
      </c>
      <c r="C843" t="s">
        <v>61</v>
      </c>
      <c r="D843" t="s">
        <v>133</v>
      </c>
      <c r="E843" t="s">
        <v>842</v>
      </c>
      <c r="F843" t="s">
        <v>33</v>
      </c>
      <c r="G843" t="s">
        <v>850</v>
      </c>
      <c r="H843" t="s">
        <v>50</v>
      </c>
      <c r="I843" t="s">
        <v>262</v>
      </c>
      <c r="J843" t="s">
        <v>1029</v>
      </c>
      <c r="K843" t="str">
        <f>"2k19100377_dx/hf"</f>
        <v>0</v>
      </c>
      <c r="L843">
        <v>853912</v>
      </c>
      <c r="M843"/>
      <c r="N843" t="s">
        <v>38</v>
      </c>
      <c r="O843" t="s">
        <v>38</v>
      </c>
      <c r="P843" t="s">
        <v>53</v>
      </c>
      <c r="Q843" t="s">
        <v>38</v>
      </c>
      <c r="R843" t="s">
        <v>38</v>
      </c>
      <c r="S843" t="s">
        <v>42</v>
      </c>
      <c r="T843" t="s">
        <v>42</v>
      </c>
      <c r="U843" t="s">
        <v>1021</v>
      </c>
      <c r="V843" t="s">
        <v>1022</v>
      </c>
      <c r="W843" t="s">
        <v>1021</v>
      </c>
      <c r="X843" t="s">
        <v>824</v>
      </c>
      <c r="Y843" t="s">
        <v>1023</v>
      </c>
      <c r="Z843" t="s">
        <v>47</v>
      </c>
      <c r="AA843"/>
      <c r="AB843"/>
      <c r="AC843"/>
      <c r="AD843"/>
    </row>
    <row r="844" spans="1:30">
      <c r="A844">
        <v>3110090013</v>
      </c>
      <c r="B844" t="s">
        <v>30</v>
      </c>
      <c r="C844" t="s">
        <v>61</v>
      </c>
      <c r="D844" t="s">
        <v>133</v>
      </c>
      <c r="E844" t="s">
        <v>152</v>
      </c>
      <c r="F844" t="s">
        <v>152</v>
      </c>
      <c r="G844" t="s">
        <v>763</v>
      </c>
      <c r="H844" t="s">
        <v>50</v>
      </c>
      <c r="I844" t="s">
        <v>1030</v>
      </c>
      <c r="J844" t="s">
        <v>910</v>
      </c>
      <c r="K844" t="str">
        <f>"na"</f>
        <v>0</v>
      </c>
      <c r="L844">
        <v>475154</v>
      </c>
      <c r="M844"/>
      <c r="N844" t="s">
        <v>38</v>
      </c>
      <c r="O844" t="s">
        <v>38</v>
      </c>
      <c r="P844" t="s">
        <v>53</v>
      </c>
      <c r="Q844" t="s">
        <v>38</v>
      </c>
      <c r="R844" t="s">
        <v>38</v>
      </c>
      <c r="S844" t="s">
        <v>42</v>
      </c>
      <c r="T844" t="s">
        <v>42</v>
      </c>
      <c r="U844" t="s">
        <v>1021</v>
      </c>
      <c r="V844" t="s">
        <v>1022</v>
      </c>
      <c r="W844" t="s">
        <v>1021</v>
      </c>
      <c r="X844" t="s">
        <v>824</v>
      </c>
      <c r="Y844" t="s">
        <v>1023</v>
      </c>
      <c r="Z844" t="s">
        <v>47</v>
      </c>
      <c r="AA844"/>
      <c r="AB844"/>
      <c r="AC844"/>
      <c r="AD844"/>
    </row>
    <row r="845" spans="1:30">
      <c r="A845">
        <v>3110090016</v>
      </c>
      <c r="B845" t="s">
        <v>30</v>
      </c>
      <c r="C845" t="s">
        <v>61</v>
      </c>
      <c r="D845" t="s">
        <v>133</v>
      </c>
      <c r="E845" t="s">
        <v>152</v>
      </c>
      <c r="F845" t="s">
        <v>48</v>
      </c>
      <c r="G845" t="s">
        <v>570</v>
      </c>
      <c r="H845" t="s">
        <v>50</v>
      </c>
      <c r="I845" t="s">
        <v>912</v>
      </c>
      <c r="J845" t="s">
        <v>59</v>
      </c>
      <c r="K845" t="str">
        <f>"dr1308132"</f>
        <v>0</v>
      </c>
      <c r="L845">
        <v>25000</v>
      </c>
      <c r="M845"/>
      <c r="N845" t="s">
        <v>38</v>
      </c>
      <c r="O845" t="s">
        <v>38</v>
      </c>
      <c r="P845" t="s">
        <v>53</v>
      </c>
      <c r="Q845" t="s">
        <v>38</v>
      </c>
      <c r="R845" t="s">
        <v>38</v>
      </c>
      <c r="S845" t="s">
        <v>42</v>
      </c>
      <c r="T845" t="s">
        <v>42</v>
      </c>
      <c r="U845" t="s">
        <v>1021</v>
      </c>
      <c r="V845" t="s">
        <v>1022</v>
      </c>
      <c r="W845" t="s">
        <v>1021</v>
      </c>
      <c r="X845" t="s">
        <v>824</v>
      </c>
      <c r="Y845" t="s">
        <v>1023</v>
      </c>
      <c r="Z845" t="s">
        <v>47</v>
      </c>
      <c r="AA845"/>
      <c r="AB845"/>
      <c r="AC845"/>
      <c r="AD845"/>
    </row>
    <row r="846" spans="1:30">
      <c r="A846">
        <v>3110090017</v>
      </c>
      <c r="B846" t="s">
        <v>30</v>
      </c>
      <c r="C846" t="s">
        <v>61</v>
      </c>
      <c r="D846" t="s">
        <v>133</v>
      </c>
      <c r="E846" t="s">
        <v>152</v>
      </c>
      <c r="F846" t="s">
        <v>152</v>
      </c>
      <c r="G846" t="s">
        <v>723</v>
      </c>
      <c r="H846" t="s">
        <v>50</v>
      </c>
      <c r="I846" t="s">
        <v>912</v>
      </c>
      <c r="J846" t="s">
        <v>1031</v>
      </c>
      <c r="K846" t="str">
        <f>"na"</f>
        <v>0</v>
      </c>
      <c r="L846">
        <v>94500</v>
      </c>
      <c r="M846"/>
      <c r="N846" t="s">
        <v>38</v>
      </c>
      <c r="O846" t="s">
        <v>38</v>
      </c>
      <c r="P846" t="s">
        <v>53</v>
      </c>
      <c r="Q846" t="s">
        <v>38</v>
      </c>
      <c r="R846" t="s">
        <v>38</v>
      </c>
      <c r="S846" t="s">
        <v>42</v>
      </c>
      <c r="T846" t="s">
        <v>42</v>
      </c>
      <c r="U846" t="s">
        <v>1032</v>
      </c>
      <c r="V846" t="s">
        <v>1022</v>
      </c>
      <c r="W846" t="s">
        <v>1032</v>
      </c>
      <c r="X846" t="s">
        <v>824</v>
      </c>
      <c r="Y846" t="s">
        <v>1023</v>
      </c>
      <c r="Z846" t="s">
        <v>47</v>
      </c>
      <c r="AA846"/>
      <c r="AB846"/>
      <c r="AC846"/>
      <c r="AD846"/>
    </row>
    <row r="847" spans="1:30">
      <c r="A847">
        <v>3110090018</v>
      </c>
      <c r="B847" t="s">
        <v>30</v>
      </c>
      <c r="C847" t="s">
        <v>61</v>
      </c>
      <c r="D847" t="s">
        <v>133</v>
      </c>
      <c r="E847" t="s">
        <v>842</v>
      </c>
      <c r="F847" t="s">
        <v>33</v>
      </c>
      <c r="G847" t="s">
        <v>608</v>
      </c>
      <c r="H847" t="s">
        <v>35</v>
      </c>
      <c r="I847" t="s">
        <v>609</v>
      </c>
      <c r="J847" t="s">
        <v>1033</v>
      </c>
      <c r="K847" t="str">
        <f>"sm_20_37_0383"</f>
        <v>0</v>
      </c>
      <c r="L847">
        <v>168000</v>
      </c>
      <c r="M847"/>
      <c r="N847" t="s">
        <v>38</v>
      </c>
      <c r="O847" t="s">
        <v>38</v>
      </c>
      <c r="P847" t="s">
        <v>53</v>
      </c>
      <c r="Q847" t="s">
        <v>38</v>
      </c>
      <c r="R847" t="s">
        <v>38</v>
      </c>
      <c r="S847" t="s">
        <v>42</v>
      </c>
      <c r="T847" t="s">
        <v>42</v>
      </c>
      <c r="U847" t="s">
        <v>1032</v>
      </c>
      <c r="V847" t="s">
        <v>1022</v>
      </c>
      <c r="W847" t="s">
        <v>1032</v>
      </c>
      <c r="X847" t="s">
        <v>824</v>
      </c>
      <c r="Y847" t="s">
        <v>1023</v>
      </c>
      <c r="Z847" t="s">
        <v>47</v>
      </c>
      <c r="AA847"/>
      <c r="AB847"/>
      <c r="AC847"/>
      <c r="AD847"/>
    </row>
    <row r="848" spans="1:30">
      <c r="A848">
        <v>3110090022</v>
      </c>
      <c r="B848" t="s">
        <v>30</v>
      </c>
      <c r="C848" t="s">
        <v>61</v>
      </c>
      <c r="D848" t="s">
        <v>133</v>
      </c>
      <c r="E848" t="s">
        <v>146</v>
      </c>
      <c r="F848" t="s">
        <v>147</v>
      </c>
      <c r="G848" t="s">
        <v>148</v>
      </c>
      <c r="H848" t="s">
        <v>35</v>
      </c>
      <c r="I848" t="s">
        <v>149</v>
      </c>
      <c r="J848" t="s">
        <v>906</v>
      </c>
      <c r="K848" t="str">
        <f>"v301a1911040"</f>
        <v>0</v>
      </c>
      <c r="L848">
        <v>47952</v>
      </c>
      <c r="M848"/>
      <c r="N848" t="s">
        <v>38</v>
      </c>
      <c r="O848" t="s">
        <v>38</v>
      </c>
      <c r="P848" t="s">
        <v>53</v>
      </c>
      <c r="Q848" t="s">
        <v>38</v>
      </c>
      <c r="R848" t="s">
        <v>38</v>
      </c>
      <c r="S848" t="s">
        <v>42</v>
      </c>
      <c r="T848" t="s">
        <v>42</v>
      </c>
      <c r="U848" t="s">
        <v>1032</v>
      </c>
      <c r="V848" t="s">
        <v>1022</v>
      </c>
      <c r="W848" t="s">
        <v>1032</v>
      </c>
      <c r="X848" t="s">
        <v>824</v>
      </c>
      <c r="Y848" t="s">
        <v>1023</v>
      </c>
      <c r="Z848" t="s">
        <v>47</v>
      </c>
      <c r="AA848"/>
      <c r="AB848"/>
      <c r="AC848"/>
      <c r="AD848"/>
    </row>
    <row r="849" spans="1:30">
      <c r="A849">
        <v>3110090023</v>
      </c>
      <c r="B849" t="s">
        <v>30</v>
      </c>
      <c r="C849" t="s">
        <v>61</v>
      </c>
      <c r="D849" t="s">
        <v>133</v>
      </c>
      <c r="E849" t="s">
        <v>339</v>
      </c>
      <c r="F849" t="s">
        <v>340</v>
      </c>
      <c r="G849" t="s">
        <v>734</v>
      </c>
      <c r="H849" t="s">
        <v>50</v>
      </c>
      <c r="I849" t="s">
        <v>1034</v>
      </c>
      <c r="J849" t="s">
        <v>1035</v>
      </c>
      <c r="K849" t="str">
        <f>"rk1412022p"</f>
        <v>0</v>
      </c>
      <c r="L849">
        <v>449000</v>
      </c>
      <c r="M849"/>
      <c r="N849" t="s">
        <v>38</v>
      </c>
      <c r="O849" t="s">
        <v>38</v>
      </c>
      <c r="P849" t="s">
        <v>53</v>
      </c>
      <c r="Q849" t="s">
        <v>38</v>
      </c>
      <c r="R849" t="s">
        <v>38</v>
      </c>
      <c r="S849" t="s">
        <v>42</v>
      </c>
      <c r="T849" t="s">
        <v>42</v>
      </c>
      <c r="U849" t="s">
        <v>1032</v>
      </c>
      <c r="V849" t="s">
        <v>1022</v>
      </c>
      <c r="W849" t="s">
        <v>1032</v>
      </c>
      <c r="X849" t="s">
        <v>824</v>
      </c>
      <c r="Y849" t="s">
        <v>1023</v>
      </c>
      <c r="Z849" t="s">
        <v>47</v>
      </c>
      <c r="AA849"/>
      <c r="AB849"/>
      <c r="AC849"/>
      <c r="AD849"/>
    </row>
    <row r="850" spans="1:30">
      <c r="A850">
        <v>3110090024</v>
      </c>
      <c r="B850" t="s">
        <v>30</v>
      </c>
      <c r="C850" t="s">
        <v>61</v>
      </c>
      <c r="D850" t="s">
        <v>133</v>
      </c>
      <c r="E850" t="s">
        <v>339</v>
      </c>
      <c r="F850" t="s">
        <v>340</v>
      </c>
      <c r="G850" t="s">
        <v>665</v>
      </c>
      <c r="H850" t="s">
        <v>50</v>
      </c>
      <c r="I850" t="s">
        <v>783</v>
      </c>
      <c r="J850" t="s">
        <v>906</v>
      </c>
      <c r="K850" t="str">
        <f>"02198"</f>
        <v>0</v>
      </c>
      <c r="L850">
        <v>325000</v>
      </c>
      <c r="M850"/>
      <c r="N850" t="s">
        <v>38</v>
      </c>
      <c r="O850" t="s">
        <v>38</v>
      </c>
      <c r="P850" t="s">
        <v>53</v>
      </c>
      <c r="Q850" t="s">
        <v>38</v>
      </c>
      <c r="R850" t="s">
        <v>38</v>
      </c>
      <c r="S850" t="s">
        <v>42</v>
      </c>
      <c r="T850" t="s">
        <v>42</v>
      </c>
      <c r="U850" t="s">
        <v>1032</v>
      </c>
      <c r="V850" t="s">
        <v>1022</v>
      </c>
      <c r="W850" t="s">
        <v>1032</v>
      </c>
      <c r="X850" t="s">
        <v>824</v>
      </c>
      <c r="Y850" t="s">
        <v>1023</v>
      </c>
      <c r="Z850" t="s">
        <v>47</v>
      </c>
      <c r="AA850"/>
      <c r="AB850"/>
      <c r="AC850"/>
      <c r="AD850"/>
    </row>
    <row r="851" spans="1:30">
      <c r="A851">
        <v>3110090025</v>
      </c>
      <c r="B851" t="s">
        <v>30</v>
      </c>
      <c r="C851" t="s">
        <v>61</v>
      </c>
      <c r="D851" t="s">
        <v>133</v>
      </c>
      <c r="E851" t="s">
        <v>339</v>
      </c>
      <c r="F851" t="s">
        <v>340</v>
      </c>
      <c r="G851" t="s">
        <v>728</v>
      </c>
      <c r="H851" t="s">
        <v>50</v>
      </c>
      <c r="I851" t="s">
        <v>1036</v>
      </c>
      <c r="J851" t="s">
        <v>1037</v>
      </c>
      <c r="K851" t="str">
        <f>"ag0254axc1a"</f>
        <v>0</v>
      </c>
      <c r="L851">
        <v>132000</v>
      </c>
      <c r="M851"/>
      <c r="N851" t="s">
        <v>38</v>
      </c>
      <c r="O851" t="s">
        <v>38</v>
      </c>
      <c r="P851" t="s">
        <v>53</v>
      </c>
      <c r="Q851" t="s">
        <v>38</v>
      </c>
      <c r="R851" t="s">
        <v>38</v>
      </c>
      <c r="S851" t="s">
        <v>42</v>
      </c>
      <c r="T851" t="s">
        <v>42</v>
      </c>
      <c r="U851" t="s">
        <v>1032</v>
      </c>
      <c r="V851" t="s">
        <v>1022</v>
      </c>
      <c r="W851" t="s">
        <v>1032</v>
      </c>
      <c r="X851" t="s">
        <v>824</v>
      </c>
      <c r="Y851" t="s">
        <v>1023</v>
      </c>
      <c r="Z851" t="s">
        <v>47</v>
      </c>
      <c r="AA851"/>
      <c r="AB851"/>
      <c r="AC851"/>
      <c r="AD851"/>
    </row>
    <row r="852" spans="1:30">
      <c r="A852">
        <v>3110090026</v>
      </c>
      <c r="B852" t="s">
        <v>30</v>
      </c>
      <c r="C852" t="s">
        <v>61</v>
      </c>
      <c r="D852" t="s">
        <v>133</v>
      </c>
      <c r="E852" t="s">
        <v>339</v>
      </c>
      <c r="F852" t="s">
        <v>340</v>
      </c>
      <c r="G852" t="s">
        <v>739</v>
      </c>
      <c r="H852" t="s">
        <v>50</v>
      </c>
      <c r="I852" t="s">
        <v>740</v>
      </c>
      <c r="J852" t="s">
        <v>1038</v>
      </c>
      <c r="K852" t="str">
        <f>"691569k"</f>
        <v>0</v>
      </c>
      <c r="L852">
        <v>175000</v>
      </c>
      <c r="M852"/>
      <c r="N852" t="s">
        <v>38</v>
      </c>
      <c r="O852" t="s">
        <v>38</v>
      </c>
      <c r="P852" t="s">
        <v>53</v>
      </c>
      <c r="Q852" t="s">
        <v>38</v>
      </c>
      <c r="R852" t="s">
        <v>38</v>
      </c>
      <c r="S852" t="s">
        <v>42</v>
      </c>
      <c r="T852" t="s">
        <v>42</v>
      </c>
      <c r="U852" t="s">
        <v>1032</v>
      </c>
      <c r="V852" t="s">
        <v>1022</v>
      </c>
      <c r="W852" t="s">
        <v>1032</v>
      </c>
      <c r="X852" t="s">
        <v>824</v>
      </c>
      <c r="Y852" t="s">
        <v>1023</v>
      </c>
      <c r="Z852" t="s">
        <v>47</v>
      </c>
      <c r="AA852"/>
      <c r="AB852"/>
      <c r="AC852"/>
      <c r="AD852"/>
    </row>
    <row r="853" spans="1:30">
      <c r="A853">
        <v>3110090027</v>
      </c>
      <c r="B853" t="s">
        <v>30</v>
      </c>
      <c r="C853" t="s">
        <v>61</v>
      </c>
      <c r="D853" t="s">
        <v>133</v>
      </c>
      <c r="E853" t="s">
        <v>112</v>
      </c>
      <c r="F853" t="s">
        <v>64</v>
      </c>
      <c r="G853" t="s">
        <v>99</v>
      </c>
      <c r="H853" t="s">
        <v>50</v>
      </c>
      <c r="I853" t="s">
        <v>102</v>
      </c>
      <c r="J853" t="s">
        <v>1039</v>
      </c>
      <c r="K853" t="str">
        <f>"ma21050561586"</f>
        <v>0</v>
      </c>
      <c r="L853">
        <v>77650</v>
      </c>
      <c r="M853"/>
      <c r="N853" t="s">
        <v>38</v>
      </c>
      <c r="O853" t="s">
        <v>38</v>
      </c>
      <c r="P853" t="s">
        <v>53</v>
      </c>
      <c r="Q853" t="s">
        <v>38</v>
      </c>
      <c r="R853" t="s">
        <v>38</v>
      </c>
      <c r="S853" t="s">
        <v>42</v>
      </c>
      <c r="T853" t="s">
        <v>42</v>
      </c>
      <c r="U853" t="s">
        <v>1032</v>
      </c>
      <c r="V853" t="s">
        <v>1022</v>
      </c>
      <c r="W853" t="s">
        <v>1032</v>
      </c>
      <c r="X853" t="s">
        <v>824</v>
      </c>
      <c r="Y853" t="s">
        <v>1023</v>
      </c>
      <c r="Z853" t="s">
        <v>47</v>
      </c>
      <c r="AA853"/>
      <c r="AB853"/>
      <c r="AC853"/>
      <c r="AD853"/>
    </row>
    <row r="854" spans="1:30">
      <c r="A854">
        <v>3110090028</v>
      </c>
      <c r="B854" t="s">
        <v>30</v>
      </c>
      <c r="C854" t="s">
        <v>61</v>
      </c>
      <c r="D854" t="s">
        <v>133</v>
      </c>
      <c r="E854" t="s">
        <v>112</v>
      </c>
      <c r="F854" t="s">
        <v>64</v>
      </c>
      <c r="G854" t="s">
        <v>99</v>
      </c>
      <c r="H854" t="s">
        <v>50</v>
      </c>
      <c r="I854" t="s">
        <v>102</v>
      </c>
      <c r="J854" t="s">
        <v>1039</v>
      </c>
      <c r="K854" t="str">
        <f>"ma21050561610"</f>
        <v>0</v>
      </c>
      <c r="L854">
        <v>77650</v>
      </c>
      <c r="M854"/>
      <c r="N854" t="s">
        <v>38</v>
      </c>
      <c r="O854" t="s">
        <v>38</v>
      </c>
      <c r="P854" t="s">
        <v>53</v>
      </c>
      <c r="Q854" t="s">
        <v>38</v>
      </c>
      <c r="R854" t="s">
        <v>38</v>
      </c>
      <c r="S854" t="s">
        <v>42</v>
      </c>
      <c r="T854" t="s">
        <v>42</v>
      </c>
      <c r="U854" t="s">
        <v>1032</v>
      </c>
      <c r="V854" t="s">
        <v>1022</v>
      </c>
      <c r="W854" t="s">
        <v>1032</v>
      </c>
      <c r="X854" t="s">
        <v>824</v>
      </c>
      <c r="Y854" t="s">
        <v>1023</v>
      </c>
      <c r="Z854" t="s">
        <v>47</v>
      </c>
      <c r="AA854"/>
      <c r="AB854"/>
      <c r="AC854"/>
      <c r="AD854"/>
    </row>
    <row r="855" spans="1:30">
      <c r="A855">
        <v>3110090029</v>
      </c>
      <c r="B855" t="s">
        <v>30</v>
      </c>
      <c r="C855" t="s">
        <v>61</v>
      </c>
      <c r="D855" t="s">
        <v>133</v>
      </c>
      <c r="E855" t="s">
        <v>112</v>
      </c>
      <c r="F855" t="s">
        <v>64</v>
      </c>
      <c r="G855" t="s">
        <v>99</v>
      </c>
      <c r="H855" t="s">
        <v>50</v>
      </c>
      <c r="I855" t="s">
        <v>102</v>
      </c>
      <c r="J855" t="s">
        <v>1039</v>
      </c>
      <c r="K855" t="str">
        <f>"ma21050561305"</f>
        <v>0</v>
      </c>
      <c r="L855">
        <v>77650</v>
      </c>
      <c r="M855"/>
      <c r="N855" t="s">
        <v>38</v>
      </c>
      <c r="O855" t="s">
        <v>38</v>
      </c>
      <c r="P855" t="s">
        <v>53</v>
      </c>
      <c r="Q855" t="s">
        <v>38</v>
      </c>
      <c r="R855" t="s">
        <v>38</v>
      </c>
      <c r="S855" t="s">
        <v>42</v>
      </c>
      <c r="T855" t="s">
        <v>42</v>
      </c>
      <c r="U855" t="s">
        <v>1032</v>
      </c>
      <c r="V855" t="s">
        <v>1022</v>
      </c>
      <c r="W855" t="s">
        <v>1032</v>
      </c>
      <c r="X855" t="s">
        <v>824</v>
      </c>
      <c r="Y855" t="s">
        <v>1023</v>
      </c>
      <c r="Z855" t="s">
        <v>47</v>
      </c>
      <c r="AA855"/>
      <c r="AB855"/>
      <c r="AC855"/>
      <c r="AD855"/>
    </row>
    <row r="856" spans="1:30">
      <c r="A856">
        <v>3110090030</v>
      </c>
      <c r="B856" t="s">
        <v>30</v>
      </c>
      <c r="C856" t="s">
        <v>61</v>
      </c>
      <c r="D856" t="s">
        <v>133</v>
      </c>
      <c r="E856" t="s">
        <v>112</v>
      </c>
      <c r="F856" t="s">
        <v>64</v>
      </c>
      <c r="G856" t="s">
        <v>99</v>
      </c>
      <c r="H856" t="s">
        <v>50</v>
      </c>
      <c r="I856" t="s">
        <v>102</v>
      </c>
      <c r="J856" t="s">
        <v>1039</v>
      </c>
      <c r="K856" t="str">
        <f>"ma21050561686"</f>
        <v>0</v>
      </c>
      <c r="L856">
        <v>77650</v>
      </c>
      <c r="M856"/>
      <c r="N856" t="s">
        <v>38</v>
      </c>
      <c r="O856" t="s">
        <v>38</v>
      </c>
      <c r="P856" t="s">
        <v>53</v>
      </c>
      <c r="Q856" t="s">
        <v>38</v>
      </c>
      <c r="R856" t="s">
        <v>38</v>
      </c>
      <c r="S856" t="s">
        <v>42</v>
      </c>
      <c r="T856" t="s">
        <v>42</v>
      </c>
      <c r="U856" t="s">
        <v>1032</v>
      </c>
      <c r="V856" t="s">
        <v>1022</v>
      </c>
      <c r="W856" t="s">
        <v>1032</v>
      </c>
      <c r="X856" t="s">
        <v>824</v>
      </c>
      <c r="Y856" t="s">
        <v>1023</v>
      </c>
      <c r="Z856" t="s">
        <v>47</v>
      </c>
      <c r="AA856"/>
      <c r="AB856"/>
      <c r="AC856"/>
      <c r="AD856"/>
    </row>
    <row r="857" spans="1:30">
      <c r="A857">
        <v>3110090031</v>
      </c>
      <c r="B857" t="s">
        <v>30</v>
      </c>
      <c r="C857" t="s">
        <v>61</v>
      </c>
      <c r="D857" t="s">
        <v>133</v>
      </c>
      <c r="E857" t="s">
        <v>112</v>
      </c>
      <c r="F857" t="s">
        <v>64</v>
      </c>
      <c r="G857" t="s">
        <v>99</v>
      </c>
      <c r="H857" t="s">
        <v>50</v>
      </c>
      <c r="I857" t="s">
        <v>102</v>
      </c>
      <c r="J857" t="s">
        <v>1039</v>
      </c>
      <c r="K857" t="str">
        <f>"ma21050561606"</f>
        <v>0</v>
      </c>
      <c r="L857">
        <v>77650</v>
      </c>
      <c r="M857"/>
      <c r="N857" t="s">
        <v>38</v>
      </c>
      <c r="O857" t="s">
        <v>38</v>
      </c>
      <c r="P857" t="s">
        <v>53</v>
      </c>
      <c r="Q857" t="s">
        <v>38</v>
      </c>
      <c r="R857" t="s">
        <v>38</v>
      </c>
      <c r="S857" t="s">
        <v>42</v>
      </c>
      <c r="T857" t="s">
        <v>42</v>
      </c>
      <c r="U857" t="s">
        <v>1032</v>
      </c>
      <c r="V857" t="s">
        <v>1022</v>
      </c>
      <c r="W857" t="s">
        <v>1032</v>
      </c>
      <c r="X857" t="s">
        <v>824</v>
      </c>
      <c r="Y857" t="s">
        <v>1023</v>
      </c>
      <c r="Z857" t="s">
        <v>47</v>
      </c>
      <c r="AA857"/>
      <c r="AB857"/>
      <c r="AC857"/>
      <c r="AD857"/>
    </row>
    <row r="858" spans="1:30">
      <c r="A858">
        <v>3110090032</v>
      </c>
      <c r="B858" t="s">
        <v>30</v>
      </c>
      <c r="C858" t="s">
        <v>61</v>
      </c>
      <c r="D858" t="s">
        <v>133</v>
      </c>
      <c r="E858" t="s">
        <v>112</v>
      </c>
      <c r="F858" t="s">
        <v>64</v>
      </c>
      <c r="G858" t="s">
        <v>99</v>
      </c>
      <c r="H858" t="s">
        <v>50</v>
      </c>
      <c r="I858" t="s">
        <v>102</v>
      </c>
      <c r="J858" t="s">
        <v>1039</v>
      </c>
      <c r="K858" t="str">
        <f>"ma21050561197"</f>
        <v>0</v>
      </c>
      <c r="L858">
        <v>77650</v>
      </c>
      <c r="M858"/>
      <c r="N858" t="s">
        <v>38</v>
      </c>
      <c r="O858" t="s">
        <v>38</v>
      </c>
      <c r="P858" t="s">
        <v>53</v>
      </c>
      <c r="Q858" t="s">
        <v>38</v>
      </c>
      <c r="R858" t="s">
        <v>38</v>
      </c>
      <c r="S858" t="s">
        <v>42</v>
      </c>
      <c r="T858" t="s">
        <v>42</v>
      </c>
      <c r="U858" t="s">
        <v>1032</v>
      </c>
      <c r="V858" t="s">
        <v>1022</v>
      </c>
      <c r="W858" t="s">
        <v>1032</v>
      </c>
      <c r="X858" t="s">
        <v>824</v>
      </c>
      <c r="Y858" t="s">
        <v>1023</v>
      </c>
      <c r="Z858" t="s">
        <v>47</v>
      </c>
      <c r="AA858"/>
      <c r="AB858"/>
      <c r="AC858"/>
      <c r="AD858"/>
    </row>
    <row r="859" spans="1:30">
      <c r="A859">
        <v>3110090033</v>
      </c>
      <c r="B859" t="s">
        <v>30</v>
      </c>
      <c r="C859" t="s">
        <v>61</v>
      </c>
      <c r="D859" t="s">
        <v>133</v>
      </c>
      <c r="E859" t="s">
        <v>112</v>
      </c>
      <c r="F859" t="s">
        <v>64</v>
      </c>
      <c r="G859" t="s">
        <v>99</v>
      </c>
      <c r="H859" t="s">
        <v>50</v>
      </c>
      <c r="I859" t="s">
        <v>102</v>
      </c>
      <c r="J859" t="s">
        <v>1039</v>
      </c>
      <c r="K859" t="str">
        <f>"ma21050561726"</f>
        <v>0</v>
      </c>
      <c r="L859">
        <v>77650</v>
      </c>
      <c r="M859"/>
      <c r="N859" t="s">
        <v>38</v>
      </c>
      <c r="O859" t="s">
        <v>38</v>
      </c>
      <c r="P859" t="s">
        <v>53</v>
      </c>
      <c r="Q859" t="s">
        <v>38</v>
      </c>
      <c r="R859" t="s">
        <v>38</v>
      </c>
      <c r="S859" t="s">
        <v>42</v>
      </c>
      <c r="T859" t="s">
        <v>42</v>
      </c>
      <c r="U859" t="s">
        <v>1032</v>
      </c>
      <c r="V859" t="s">
        <v>1022</v>
      </c>
      <c r="W859" t="s">
        <v>1032</v>
      </c>
      <c r="X859" t="s">
        <v>824</v>
      </c>
      <c r="Y859" t="s">
        <v>1023</v>
      </c>
      <c r="Z859" t="s">
        <v>47</v>
      </c>
      <c r="AA859"/>
      <c r="AB859"/>
      <c r="AC859"/>
      <c r="AD859"/>
    </row>
    <row r="860" spans="1:30">
      <c r="A860">
        <v>3110090034</v>
      </c>
      <c r="B860" t="s">
        <v>30</v>
      </c>
      <c r="C860" t="s">
        <v>61</v>
      </c>
      <c r="D860" t="s">
        <v>133</v>
      </c>
      <c r="E860" t="s">
        <v>112</v>
      </c>
      <c r="F860" t="s">
        <v>64</v>
      </c>
      <c r="G860" t="s">
        <v>99</v>
      </c>
      <c r="H860" t="s">
        <v>50</v>
      </c>
      <c r="I860" t="s">
        <v>102</v>
      </c>
      <c r="J860" t="s">
        <v>1039</v>
      </c>
      <c r="K860" t="str">
        <f>"ma21050561207"</f>
        <v>0</v>
      </c>
      <c r="L860">
        <v>77650</v>
      </c>
      <c r="M860"/>
      <c r="N860" t="s">
        <v>38</v>
      </c>
      <c r="O860" t="s">
        <v>38</v>
      </c>
      <c r="P860" t="s">
        <v>53</v>
      </c>
      <c r="Q860" t="s">
        <v>38</v>
      </c>
      <c r="R860" t="s">
        <v>38</v>
      </c>
      <c r="S860" t="s">
        <v>42</v>
      </c>
      <c r="T860" t="s">
        <v>42</v>
      </c>
      <c r="U860" t="s">
        <v>1032</v>
      </c>
      <c r="V860" t="s">
        <v>1022</v>
      </c>
      <c r="W860" t="s">
        <v>1032</v>
      </c>
      <c r="X860" t="s">
        <v>824</v>
      </c>
      <c r="Y860" t="s">
        <v>1023</v>
      </c>
      <c r="Z860" t="s">
        <v>47</v>
      </c>
      <c r="AA860"/>
      <c r="AB860"/>
      <c r="AC860"/>
      <c r="AD860"/>
    </row>
    <row r="861" spans="1:30">
      <c r="A861">
        <v>3110090035</v>
      </c>
      <c r="B861" t="s">
        <v>30</v>
      </c>
      <c r="C861" t="s">
        <v>61</v>
      </c>
      <c r="D861" t="s">
        <v>133</v>
      </c>
      <c r="E861" t="s">
        <v>112</v>
      </c>
      <c r="F861" t="s">
        <v>64</v>
      </c>
      <c r="G861" t="s">
        <v>99</v>
      </c>
      <c r="H861" t="s">
        <v>50</v>
      </c>
      <c r="I861" t="s">
        <v>102</v>
      </c>
      <c r="J861" t="s">
        <v>1039</v>
      </c>
      <c r="K861" t="str">
        <f>"ma21050561221"</f>
        <v>0</v>
      </c>
      <c r="L861">
        <v>77650</v>
      </c>
      <c r="M861"/>
      <c r="N861" t="s">
        <v>38</v>
      </c>
      <c r="O861" t="s">
        <v>38</v>
      </c>
      <c r="P861" t="s">
        <v>53</v>
      </c>
      <c r="Q861" t="s">
        <v>38</v>
      </c>
      <c r="R861" t="s">
        <v>38</v>
      </c>
      <c r="S861" t="s">
        <v>42</v>
      </c>
      <c r="T861" t="s">
        <v>42</v>
      </c>
      <c r="U861" t="s">
        <v>1032</v>
      </c>
      <c r="V861" t="s">
        <v>1022</v>
      </c>
      <c r="W861" t="s">
        <v>1032</v>
      </c>
      <c r="X861" t="s">
        <v>824</v>
      </c>
      <c r="Y861" t="s">
        <v>1023</v>
      </c>
      <c r="Z861" t="s">
        <v>47</v>
      </c>
      <c r="AA861"/>
      <c r="AB861"/>
      <c r="AC861"/>
      <c r="AD861"/>
    </row>
    <row r="862" spans="1:30">
      <c r="A862">
        <v>3110090036</v>
      </c>
      <c r="B862" t="s">
        <v>30</v>
      </c>
      <c r="C862" t="s">
        <v>61</v>
      </c>
      <c r="D862" t="s">
        <v>133</v>
      </c>
      <c r="E862" t="s">
        <v>112</v>
      </c>
      <c r="F862" t="s">
        <v>64</v>
      </c>
      <c r="G862" t="s">
        <v>99</v>
      </c>
      <c r="H862" t="s">
        <v>50</v>
      </c>
      <c r="I862" t="s">
        <v>102</v>
      </c>
      <c r="J862" t="s">
        <v>1039</v>
      </c>
      <c r="K862" t="str">
        <f>"ma21050561011"</f>
        <v>0</v>
      </c>
      <c r="L862">
        <v>77650</v>
      </c>
      <c r="M862"/>
      <c r="N862" t="s">
        <v>38</v>
      </c>
      <c r="O862" t="s">
        <v>38</v>
      </c>
      <c r="P862" t="s">
        <v>53</v>
      </c>
      <c r="Q862" t="s">
        <v>38</v>
      </c>
      <c r="R862" t="s">
        <v>38</v>
      </c>
      <c r="S862" t="s">
        <v>42</v>
      </c>
      <c r="T862" t="s">
        <v>42</v>
      </c>
      <c r="U862" t="s">
        <v>1032</v>
      </c>
      <c r="V862" t="s">
        <v>1022</v>
      </c>
      <c r="W862" t="s">
        <v>1032</v>
      </c>
      <c r="X862" t="s">
        <v>824</v>
      </c>
      <c r="Y862" t="s">
        <v>1023</v>
      </c>
      <c r="Z862" t="s">
        <v>47</v>
      </c>
      <c r="AA862"/>
      <c r="AB862"/>
      <c r="AC862"/>
      <c r="AD862"/>
    </row>
    <row r="863" spans="1:30">
      <c r="A863">
        <v>3110090040</v>
      </c>
      <c r="B863" t="s">
        <v>30</v>
      </c>
      <c r="C863" t="s">
        <v>61</v>
      </c>
      <c r="D863" t="s">
        <v>133</v>
      </c>
      <c r="E863" t="s">
        <v>55</v>
      </c>
      <c r="F863" t="s">
        <v>64</v>
      </c>
      <c r="G863" t="s">
        <v>99</v>
      </c>
      <c r="H863" t="s">
        <v>50</v>
      </c>
      <c r="I863" t="s">
        <v>408</v>
      </c>
      <c r="J863" t="s">
        <v>770</v>
      </c>
      <c r="K863" t="str">
        <f>"na"</f>
        <v>0</v>
      </c>
      <c r="L863">
        <v>86400</v>
      </c>
      <c r="M863"/>
      <c r="N863" t="s">
        <v>38</v>
      </c>
      <c r="O863" t="s">
        <v>38</v>
      </c>
      <c r="P863" t="s">
        <v>53</v>
      </c>
      <c r="Q863" t="s">
        <v>38</v>
      </c>
      <c r="R863" t="s">
        <v>38</v>
      </c>
      <c r="S863" t="s">
        <v>42</v>
      </c>
      <c r="T863" t="s">
        <v>42</v>
      </c>
      <c r="U863" t="s">
        <v>1032</v>
      </c>
      <c r="V863" t="s">
        <v>1022</v>
      </c>
      <c r="W863" t="s">
        <v>1032</v>
      </c>
      <c r="X863" t="s">
        <v>824</v>
      </c>
      <c r="Y863" t="s">
        <v>1023</v>
      </c>
      <c r="Z863" t="s">
        <v>47</v>
      </c>
      <c r="AA863"/>
      <c r="AB863"/>
      <c r="AC863"/>
      <c r="AD863"/>
    </row>
    <row r="864" spans="1:30">
      <c r="A864">
        <v>3110090044</v>
      </c>
      <c r="B864" t="s">
        <v>30</v>
      </c>
      <c r="C864" t="s">
        <v>61</v>
      </c>
      <c r="D864" t="s">
        <v>133</v>
      </c>
      <c r="E864" t="s">
        <v>55</v>
      </c>
      <c r="F864" t="s">
        <v>113</v>
      </c>
      <c r="G864" t="s">
        <v>114</v>
      </c>
      <c r="H864" t="s">
        <v>35</v>
      </c>
      <c r="I864" t="s">
        <v>115</v>
      </c>
      <c r="J864" t="s">
        <v>1040</v>
      </c>
      <c r="K864" t="str">
        <f>"asg_l 1207080"</f>
        <v>0</v>
      </c>
      <c r="L864">
        <v>79420</v>
      </c>
      <c r="M864"/>
      <c r="N864" t="s">
        <v>38</v>
      </c>
      <c r="O864" t="s">
        <v>38</v>
      </c>
      <c r="P864" t="s">
        <v>53</v>
      </c>
      <c r="Q864" t="s">
        <v>38</v>
      </c>
      <c r="R864" t="s">
        <v>38</v>
      </c>
      <c r="S864" t="s">
        <v>42</v>
      </c>
      <c r="T864" t="s">
        <v>42</v>
      </c>
      <c r="U864" t="s">
        <v>1032</v>
      </c>
      <c r="V864" t="s">
        <v>1022</v>
      </c>
      <c r="W864" t="s">
        <v>1032</v>
      </c>
      <c r="X864" t="s">
        <v>824</v>
      </c>
      <c r="Y864" t="s">
        <v>1023</v>
      </c>
      <c r="Z864" t="s">
        <v>47</v>
      </c>
      <c r="AA864"/>
      <c r="AB864"/>
      <c r="AC864"/>
      <c r="AD864"/>
    </row>
    <row r="865" spans="1:30">
      <c r="A865">
        <v>3110090045</v>
      </c>
      <c r="B865" t="s">
        <v>30</v>
      </c>
      <c r="C865" t="s">
        <v>61</v>
      </c>
      <c r="D865" t="s">
        <v>133</v>
      </c>
      <c r="E865" t="s">
        <v>55</v>
      </c>
      <c r="F865" t="s">
        <v>143</v>
      </c>
      <c r="G865" t="s">
        <v>144</v>
      </c>
      <c r="H865" t="s">
        <v>50</v>
      </c>
      <c r="I865" t="s">
        <v>375</v>
      </c>
      <c r="J865" t="s">
        <v>59</v>
      </c>
      <c r="K865" t="str">
        <f>"na"</f>
        <v>0</v>
      </c>
      <c r="L865">
        <v>34335</v>
      </c>
      <c r="M865"/>
      <c r="N865" t="s">
        <v>38</v>
      </c>
      <c r="O865" t="s">
        <v>38</v>
      </c>
      <c r="P865" t="s">
        <v>53</v>
      </c>
      <c r="Q865" t="s">
        <v>38</v>
      </c>
      <c r="R865" t="s">
        <v>38</v>
      </c>
      <c r="S865" t="s">
        <v>42</v>
      </c>
      <c r="T865" t="s">
        <v>42</v>
      </c>
      <c r="U865" t="s">
        <v>1032</v>
      </c>
      <c r="V865" t="s">
        <v>1022</v>
      </c>
      <c r="W865" t="s">
        <v>1032</v>
      </c>
      <c r="X865" t="s">
        <v>824</v>
      </c>
      <c r="Y865" t="s">
        <v>1023</v>
      </c>
      <c r="Z865" t="s">
        <v>47</v>
      </c>
      <c r="AA865"/>
      <c r="AB865"/>
      <c r="AC865"/>
      <c r="AD865"/>
    </row>
    <row r="866" spans="1:30">
      <c r="A866">
        <v>3110090046</v>
      </c>
      <c r="B866" t="s">
        <v>30</v>
      </c>
      <c r="C866" t="s">
        <v>61</v>
      </c>
      <c r="D866" t="s">
        <v>133</v>
      </c>
      <c r="E866" t="s">
        <v>55</v>
      </c>
      <c r="F866" t="s">
        <v>143</v>
      </c>
      <c r="G866" t="s">
        <v>144</v>
      </c>
      <c r="H866" t="s">
        <v>50</v>
      </c>
      <c r="I866" t="s">
        <v>382</v>
      </c>
      <c r="J866" t="s">
        <v>931</v>
      </c>
      <c r="K866" t="str">
        <f>"na"</f>
        <v>0</v>
      </c>
      <c r="L866">
        <v>34335</v>
      </c>
      <c r="M866"/>
      <c r="N866" t="s">
        <v>38</v>
      </c>
      <c r="O866" t="s">
        <v>38</v>
      </c>
      <c r="P866" t="s">
        <v>53</v>
      </c>
      <c r="Q866" t="s">
        <v>38</v>
      </c>
      <c r="R866" t="s">
        <v>38</v>
      </c>
      <c r="S866" t="s">
        <v>42</v>
      </c>
      <c r="T866" t="s">
        <v>42</v>
      </c>
      <c r="U866" t="s">
        <v>1032</v>
      </c>
      <c r="V866" t="s">
        <v>1022</v>
      </c>
      <c r="W866" t="s">
        <v>1032</v>
      </c>
      <c r="X866" t="s">
        <v>824</v>
      </c>
      <c r="Y866" t="s">
        <v>1023</v>
      </c>
      <c r="Z866" t="s">
        <v>47</v>
      </c>
      <c r="AA866"/>
      <c r="AB866"/>
      <c r="AC866"/>
      <c r="AD866"/>
    </row>
    <row r="867" spans="1:30">
      <c r="A867">
        <v>3110090047</v>
      </c>
      <c r="B867" t="s">
        <v>30</v>
      </c>
      <c r="C867" t="s">
        <v>61</v>
      </c>
      <c r="D867" t="s">
        <v>133</v>
      </c>
      <c r="E867" t="s">
        <v>55</v>
      </c>
      <c r="F867" t="s">
        <v>387</v>
      </c>
      <c r="G867" t="s">
        <v>388</v>
      </c>
      <c r="H867" t="s">
        <v>50</v>
      </c>
      <c r="I867" t="s">
        <v>928</v>
      </c>
      <c r="J867" t="s">
        <v>1041</v>
      </c>
      <c r="K867" t="str">
        <f>"na"</f>
        <v>0</v>
      </c>
      <c r="L867">
        <v>60000</v>
      </c>
      <c r="M867"/>
      <c r="N867" t="s">
        <v>38</v>
      </c>
      <c r="O867" t="s">
        <v>38</v>
      </c>
      <c r="P867" t="s">
        <v>53</v>
      </c>
      <c r="Q867" t="s">
        <v>38</v>
      </c>
      <c r="R867" t="s">
        <v>38</v>
      </c>
      <c r="S867" t="s">
        <v>42</v>
      </c>
      <c r="T867" t="s">
        <v>42</v>
      </c>
      <c r="U867" t="s">
        <v>1032</v>
      </c>
      <c r="V867" t="s">
        <v>1022</v>
      </c>
      <c r="W867" t="s">
        <v>1032</v>
      </c>
      <c r="X867" t="s">
        <v>824</v>
      </c>
      <c r="Y867" t="s">
        <v>1023</v>
      </c>
      <c r="Z867" t="s">
        <v>47</v>
      </c>
      <c r="AA867"/>
      <c r="AB867"/>
      <c r="AC867"/>
      <c r="AD867"/>
    </row>
    <row r="868" spans="1:30">
      <c r="A868">
        <v>3110090048</v>
      </c>
      <c r="B868" t="s">
        <v>30</v>
      </c>
      <c r="C868" t="s">
        <v>61</v>
      </c>
      <c r="D868" t="s">
        <v>133</v>
      </c>
      <c r="E868" t="s">
        <v>55</v>
      </c>
      <c r="F868" t="s">
        <v>64</v>
      </c>
      <c r="G868" t="s">
        <v>476</v>
      </c>
      <c r="H868" t="s">
        <v>50</v>
      </c>
      <c r="I868" t="s">
        <v>1042</v>
      </c>
      <c r="J868" t="s">
        <v>59</v>
      </c>
      <c r="K868" t="str">
        <f>"na"</f>
        <v>0</v>
      </c>
      <c r="L868">
        <v>30000</v>
      </c>
      <c r="M868"/>
      <c r="N868" t="s">
        <v>38</v>
      </c>
      <c r="O868" t="s">
        <v>38</v>
      </c>
      <c r="P868" t="s">
        <v>53</v>
      </c>
      <c r="Q868" t="s">
        <v>38</v>
      </c>
      <c r="R868" t="s">
        <v>38</v>
      </c>
      <c r="S868" t="s">
        <v>42</v>
      </c>
      <c r="T868" t="s">
        <v>42</v>
      </c>
      <c r="U868" t="s">
        <v>1032</v>
      </c>
      <c r="V868" t="s">
        <v>1022</v>
      </c>
      <c r="W868" t="s">
        <v>1032</v>
      </c>
      <c r="X868" t="s">
        <v>824</v>
      </c>
      <c r="Y868" t="s">
        <v>1023</v>
      </c>
      <c r="Z868" t="s">
        <v>47</v>
      </c>
      <c r="AA868"/>
      <c r="AB868"/>
      <c r="AC868"/>
      <c r="AD868"/>
    </row>
    <row r="869" spans="1:30">
      <c r="A869">
        <v>3110090049</v>
      </c>
      <c r="B869" t="s">
        <v>30</v>
      </c>
      <c r="C869" t="s">
        <v>61</v>
      </c>
      <c r="D869" t="s">
        <v>133</v>
      </c>
      <c r="E869" t="s">
        <v>55</v>
      </c>
      <c r="F869" t="s">
        <v>166</v>
      </c>
      <c r="G869" t="s">
        <v>167</v>
      </c>
      <c r="H869" t="s">
        <v>35</v>
      </c>
      <c r="I869" t="s">
        <v>168</v>
      </c>
      <c r="J869" t="s">
        <v>248</v>
      </c>
      <c r="K869" t="str">
        <f>"l19170925088"</f>
        <v>0</v>
      </c>
      <c r="L869">
        <v>65000</v>
      </c>
      <c r="M869"/>
      <c r="N869" t="s">
        <v>38</v>
      </c>
      <c r="O869" t="s">
        <v>38</v>
      </c>
      <c r="P869" t="s">
        <v>53</v>
      </c>
      <c r="Q869" t="s">
        <v>38</v>
      </c>
      <c r="R869" t="s">
        <v>38</v>
      </c>
      <c r="S869" t="s">
        <v>42</v>
      </c>
      <c r="T869" t="s">
        <v>42</v>
      </c>
      <c r="U869" t="s">
        <v>1032</v>
      </c>
      <c r="V869" t="s">
        <v>1022</v>
      </c>
      <c r="W869" t="s">
        <v>1032</v>
      </c>
      <c r="X869" t="s">
        <v>824</v>
      </c>
      <c r="Y869" t="s">
        <v>1023</v>
      </c>
      <c r="Z869" t="s">
        <v>47</v>
      </c>
      <c r="AA869"/>
      <c r="AB869"/>
      <c r="AC869"/>
      <c r="AD869"/>
    </row>
    <row r="870" spans="1:30">
      <c r="A870">
        <v>3110090050</v>
      </c>
      <c r="B870" t="s">
        <v>30</v>
      </c>
      <c r="C870" t="s">
        <v>61</v>
      </c>
      <c r="D870" t="s">
        <v>133</v>
      </c>
      <c r="E870" t="s">
        <v>55</v>
      </c>
      <c r="F870" t="s">
        <v>166</v>
      </c>
      <c r="G870" t="s">
        <v>167</v>
      </c>
      <c r="H870" t="s">
        <v>35</v>
      </c>
      <c r="I870" t="s">
        <v>168</v>
      </c>
      <c r="J870" t="s">
        <v>248</v>
      </c>
      <c r="K870" t="str">
        <f>"L19170925087"</f>
        <v>0</v>
      </c>
      <c r="L870">
        <v>65000</v>
      </c>
      <c r="M870"/>
      <c r="N870" t="s">
        <v>38</v>
      </c>
      <c r="O870" t="s">
        <v>38</v>
      </c>
      <c r="P870" t="s">
        <v>53</v>
      </c>
      <c r="Q870" t="s">
        <v>38</v>
      </c>
      <c r="R870" t="s">
        <v>38</v>
      </c>
      <c r="S870" t="s">
        <v>42</v>
      </c>
      <c r="T870" t="s">
        <v>42</v>
      </c>
      <c r="U870" t="s">
        <v>1032</v>
      </c>
      <c r="V870" t="s">
        <v>1022</v>
      </c>
      <c r="W870" t="s">
        <v>1032</v>
      </c>
      <c r="X870" t="s">
        <v>824</v>
      </c>
      <c r="Y870" t="s">
        <v>1023</v>
      </c>
      <c r="Z870" t="s">
        <v>47</v>
      </c>
      <c r="AA870"/>
      <c r="AB870"/>
      <c r="AC870"/>
      <c r="AD870"/>
    </row>
    <row r="871" spans="1:30">
      <c r="A871">
        <v>3110090066</v>
      </c>
      <c r="B871" t="s">
        <v>30</v>
      </c>
      <c r="C871" t="s">
        <v>61</v>
      </c>
      <c r="D871" t="s">
        <v>133</v>
      </c>
      <c r="E871" t="s">
        <v>48</v>
      </c>
      <c r="F871" t="s">
        <v>48</v>
      </c>
      <c r="G871" t="s">
        <v>431</v>
      </c>
      <c r="H871" t="s">
        <v>35</v>
      </c>
      <c r="I871" t="s">
        <v>594</v>
      </c>
      <c r="J871" t="s">
        <v>1043</v>
      </c>
      <c r="K871" t="str">
        <f>"102ESOH17429"</f>
        <v>0</v>
      </c>
      <c r="L871">
        <v>247500</v>
      </c>
      <c r="M871"/>
      <c r="N871" t="s">
        <v>38</v>
      </c>
      <c r="O871" t="s">
        <v>38</v>
      </c>
      <c r="P871" t="s">
        <v>53</v>
      </c>
      <c r="Q871" t="s">
        <v>38</v>
      </c>
      <c r="R871" t="s">
        <v>38</v>
      </c>
      <c r="S871" t="s">
        <v>42</v>
      </c>
      <c r="T871" t="s">
        <v>42</v>
      </c>
      <c r="U871" t="s">
        <v>1032</v>
      </c>
      <c r="V871" t="s">
        <v>1022</v>
      </c>
      <c r="W871" t="s">
        <v>1032</v>
      </c>
      <c r="X871" t="s">
        <v>824</v>
      </c>
      <c r="Y871" t="s">
        <v>1023</v>
      </c>
      <c r="Z871" t="s">
        <v>47</v>
      </c>
      <c r="AA871"/>
      <c r="AB871"/>
      <c r="AC871"/>
      <c r="AD871"/>
    </row>
    <row r="872" spans="1:30">
      <c r="A872">
        <v>3110090067</v>
      </c>
      <c r="B872" t="s">
        <v>30</v>
      </c>
      <c r="C872" t="s">
        <v>61</v>
      </c>
      <c r="D872" t="s">
        <v>133</v>
      </c>
      <c r="E872" t="s">
        <v>48</v>
      </c>
      <c r="F872" t="s">
        <v>48</v>
      </c>
      <c r="G872" t="s">
        <v>1044</v>
      </c>
      <c r="H872" t="s">
        <v>50</v>
      </c>
      <c r="I872" t="s">
        <v>375</v>
      </c>
      <c r="J872" t="s">
        <v>877</v>
      </c>
      <c r="K872" t="str">
        <f>"N.A"</f>
        <v>0</v>
      </c>
      <c r="L872">
        <v>15000</v>
      </c>
      <c r="M872"/>
      <c r="N872" t="s">
        <v>38</v>
      </c>
      <c r="O872" t="s">
        <v>38</v>
      </c>
      <c r="P872" t="s">
        <v>53</v>
      </c>
      <c r="Q872" t="s">
        <v>38</v>
      </c>
      <c r="R872" t="s">
        <v>38</v>
      </c>
      <c r="S872" t="s">
        <v>42</v>
      </c>
      <c r="T872" t="s">
        <v>42</v>
      </c>
      <c r="U872" t="s">
        <v>1032</v>
      </c>
      <c r="V872" t="s">
        <v>1022</v>
      </c>
      <c r="W872" t="s">
        <v>1032</v>
      </c>
      <c r="X872" t="s">
        <v>824</v>
      </c>
      <c r="Y872" t="s">
        <v>1023</v>
      </c>
      <c r="Z872" t="s">
        <v>47</v>
      </c>
      <c r="AA872"/>
      <c r="AB872"/>
      <c r="AC872"/>
      <c r="AD872"/>
    </row>
    <row r="873" spans="1:30">
      <c r="A873">
        <v>3110090068</v>
      </c>
      <c r="B873" t="s">
        <v>30</v>
      </c>
      <c r="C873" t="s">
        <v>61</v>
      </c>
      <c r="D873" t="s">
        <v>133</v>
      </c>
      <c r="E873" t="s">
        <v>494</v>
      </c>
      <c r="F873" t="s">
        <v>48</v>
      </c>
      <c r="G873" t="s">
        <v>280</v>
      </c>
      <c r="H873" t="s">
        <v>50</v>
      </c>
      <c r="I873" t="s">
        <v>254</v>
      </c>
      <c r="J873" t="s">
        <v>1045</v>
      </c>
      <c r="K873" t="str">
        <f>"84909297"</f>
        <v>0</v>
      </c>
      <c r="L873">
        <v>105340</v>
      </c>
      <c r="M873"/>
      <c r="N873" t="s">
        <v>38</v>
      </c>
      <c r="O873" t="s">
        <v>38</v>
      </c>
      <c r="P873" t="s">
        <v>53</v>
      </c>
      <c r="Q873" t="s">
        <v>38</v>
      </c>
      <c r="R873" t="s">
        <v>38</v>
      </c>
      <c r="S873" t="s">
        <v>42</v>
      </c>
      <c r="T873" t="s">
        <v>42</v>
      </c>
      <c r="U873" t="s">
        <v>1032</v>
      </c>
      <c r="V873" t="s">
        <v>1022</v>
      </c>
      <c r="W873" t="s">
        <v>1032</v>
      </c>
      <c r="X873" t="s">
        <v>824</v>
      </c>
      <c r="Y873" t="s">
        <v>1023</v>
      </c>
      <c r="Z873" t="s">
        <v>47</v>
      </c>
      <c r="AA873"/>
      <c r="AB873"/>
      <c r="AC873"/>
      <c r="AD873"/>
    </row>
    <row r="874" spans="1:30">
      <c r="A874">
        <v>3110090069</v>
      </c>
      <c r="B874" t="s">
        <v>30</v>
      </c>
      <c r="C874" t="s">
        <v>61</v>
      </c>
      <c r="D874" t="s">
        <v>133</v>
      </c>
      <c r="E874" t="s">
        <v>494</v>
      </c>
      <c r="F874" t="s">
        <v>48</v>
      </c>
      <c r="G874" t="s">
        <v>136</v>
      </c>
      <c r="H874" t="s">
        <v>50</v>
      </c>
      <c r="I874" t="s">
        <v>254</v>
      </c>
      <c r="J874" t="s">
        <v>1046</v>
      </c>
      <c r="K874" t="str">
        <f>"na"</f>
        <v>0</v>
      </c>
      <c r="L874">
        <v>350000</v>
      </c>
      <c r="M874"/>
      <c r="N874" t="s">
        <v>38</v>
      </c>
      <c r="O874" t="s">
        <v>38</v>
      </c>
      <c r="P874" t="s">
        <v>53</v>
      </c>
      <c r="Q874" t="s">
        <v>38</v>
      </c>
      <c r="R874" t="s">
        <v>38</v>
      </c>
      <c r="S874" t="s">
        <v>42</v>
      </c>
      <c r="T874" t="s">
        <v>42</v>
      </c>
      <c r="U874" t="s">
        <v>1032</v>
      </c>
      <c r="V874" t="s">
        <v>1022</v>
      </c>
      <c r="W874" t="s">
        <v>1032</v>
      </c>
      <c r="X874" t="s">
        <v>824</v>
      </c>
      <c r="Y874" t="s">
        <v>1023</v>
      </c>
      <c r="Z874" t="s">
        <v>47</v>
      </c>
      <c r="AA874"/>
      <c r="AB874"/>
      <c r="AC874"/>
      <c r="AD874"/>
    </row>
    <row r="875" spans="1:30">
      <c r="A875">
        <v>3110090070</v>
      </c>
      <c r="B875" t="s">
        <v>30</v>
      </c>
      <c r="C875" t="s">
        <v>61</v>
      </c>
      <c r="D875" t="s">
        <v>133</v>
      </c>
      <c r="E875" t="s">
        <v>494</v>
      </c>
      <c r="F875" t="s">
        <v>48</v>
      </c>
      <c r="G875" t="s">
        <v>136</v>
      </c>
      <c r="H875" t="s">
        <v>50</v>
      </c>
      <c r="I875" t="s">
        <v>137</v>
      </c>
      <c r="J875" t="s">
        <v>1047</v>
      </c>
      <c r="K875" t="str">
        <f>"210200031mr00598"</f>
        <v>0</v>
      </c>
      <c r="L875">
        <v>135589</v>
      </c>
      <c r="M875"/>
      <c r="N875" t="s">
        <v>38</v>
      </c>
      <c r="O875" t="s">
        <v>38</v>
      </c>
      <c r="P875" t="s">
        <v>53</v>
      </c>
      <c r="Q875" t="s">
        <v>38</v>
      </c>
      <c r="R875" t="s">
        <v>38</v>
      </c>
      <c r="S875" t="s">
        <v>42</v>
      </c>
      <c r="T875" t="s">
        <v>42</v>
      </c>
      <c r="U875" t="s">
        <v>1032</v>
      </c>
      <c r="V875" t="s">
        <v>1022</v>
      </c>
      <c r="W875" t="s">
        <v>1032</v>
      </c>
      <c r="X875" t="s">
        <v>824</v>
      </c>
      <c r="Y875" t="s">
        <v>1023</v>
      </c>
      <c r="Z875" t="s">
        <v>47</v>
      </c>
      <c r="AA875"/>
      <c r="AB875"/>
      <c r="AC875"/>
      <c r="AD875"/>
    </row>
    <row r="876" spans="1:30">
      <c r="A876">
        <v>3110090054</v>
      </c>
      <c r="B876" t="s">
        <v>30</v>
      </c>
      <c r="C876" t="s">
        <v>61</v>
      </c>
      <c r="D876" t="s">
        <v>133</v>
      </c>
      <c r="E876" t="s">
        <v>79</v>
      </c>
      <c r="F876" t="s">
        <v>64</v>
      </c>
      <c r="G876" t="s">
        <v>99</v>
      </c>
      <c r="H876" t="s">
        <v>50</v>
      </c>
      <c r="I876" t="s">
        <v>375</v>
      </c>
      <c r="J876" t="s">
        <v>59</v>
      </c>
      <c r="K876" t="str">
        <f>"na"</f>
        <v>0</v>
      </c>
      <c r="L876">
        <v>36000</v>
      </c>
      <c r="M876"/>
      <c r="N876" t="s">
        <v>38</v>
      </c>
      <c r="O876" t="s">
        <v>38</v>
      </c>
      <c r="P876" t="s">
        <v>53</v>
      </c>
      <c r="Q876" t="s">
        <v>38</v>
      </c>
      <c r="R876" t="s">
        <v>38</v>
      </c>
      <c r="S876" t="s">
        <v>42</v>
      </c>
      <c r="T876" t="s">
        <v>42</v>
      </c>
      <c r="U876" t="s">
        <v>1032</v>
      </c>
      <c r="V876" t="s">
        <v>1022</v>
      </c>
      <c r="W876" t="s">
        <v>1032</v>
      </c>
      <c r="X876" t="s">
        <v>824</v>
      </c>
      <c r="Y876" t="s">
        <v>1023</v>
      </c>
      <c r="Z876" t="s">
        <v>47</v>
      </c>
      <c r="AA876"/>
      <c r="AB876"/>
      <c r="AC876"/>
      <c r="AD876"/>
    </row>
    <row r="877" spans="1:30">
      <c r="A877">
        <v>3110090057</v>
      </c>
      <c r="B877" t="s">
        <v>30</v>
      </c>
      <c r="C877" t="s">
        <v>61</v>
      </c>
      <c r="D877" t="s">
        <v>133</v>
      </c>
      <c r="E877" t="s">
        <v>79</v>
      </c>
      <c r="F877" t="s">
        <v>143</v>
      </c>
      <c r="G877" t="s">
        <v>377</v>
      </c>
      <c r="H877" t="s">
        <v>50</v>
      </c>
      <c r="I877" t="s">
        <v>375</v>
      </c>
      <c r="J877" t="s">
        <v>59</v>
      </c>
      <c r="K877" t="str">
        <f>"na"</f>
        <v>0</v>
      </c>
      <c r="L877">
        <v>30000</v>
      </c>
      <c r="M877"/>
      <c r="N877" t="s">
        <v>38</v>
      </c>
      <c r="O877" t="s">
        <v>38</v>
      </c>
      <c r="P877" t="s">
        <v>53</v>
      </c>
      <c r="Q877" t="s">
        <v>38</v>
      </c>
      <c r="R877" t="s">
        <v>38</v>
      </c>
      <c r="S877" t="s">
        <v>42</v>
      </c>
      <c r="T877" t="s">
        <v>42</v>
      </c>
      <c r="U877" t="s">
        <v>1032</v>
      </c>
      <c r="V877" t="s">
        <v>1022</v>
      </c>
      <c r="W877" t="s">
        <v>1032</v>
      </c>
      <c r="X877" t="s">
        <v>824</v>
      </c>
      <c r="Y877" t="s">
        <v>1023</v>
      </c>
      <c r="Z877" t="s">
        <v>47</v>
      </c>
      <c r="AA877"/>
      <c r="AB877"/>
      <c r="AC877"/>
      <c r="AD877"/>
    </row>
    <row r="878" spans="1:30">
      <c r="A878">
        <v>3110090058</v>
      </c>
      <c r="B878" t="s">
        <v>30</v>
      </c>
      <c r="C878" t="s">
        <v>61</v>
      </c>
      <c r="D878" t="s">
        <v>133</v>
      </c>
      <c r="E878" t="s">
        <v>79</v>
      </c>
      <c r="F878" t="s">
        <v>143</v>
      </c>
      <c r="G878" t="s">
        <v>377</v>
      </c>
      <c r="H878" t="s">
        <v>50</v>
      </c>
      <c r="I878" t="s">
        <v>375</v>
      </c>
      <c r="J878" t="s">
        <v>59</v>
      </c>
      <c r="K878" t="str">
        <f>"na"</f>
        <v>0</v>
      </c>
      <c r="L878">
        <v>30000</v>
      </c>
      <c r="M878"/>
      <c r="N878" t="s">
        <v>38</v>
      </c>
      <c r="O878" t="s">
        <v>38</v>
      </c>
      <c r="P878" t="s">
        <v>53</v>
      </c>
      <c r="Q878" t="s">
        <v>38</v>
      </c>
      <c r="R878" t="s">
        <v>38</v>
      </c>
      <c r="S878" t="s">
        <v>42</v>
      </c>
      <c r="T878" t="s">
        <v>42</v>
      </c>
      <c r="U878" t="s">
        <v>1032</v>
      </c>
      <c r="V878" t="s">
        <v>1022</v>
      </c>
      <c r="W878" t="s">
        <v>1032</v>
      </c>
      <c r="X878" t="s">
        <v>824</v>
      </c>
      <c r="Y878" t="s">
        <v>1023</v>
      </c>
      <c r="Z878" t="s">
        <v>47</v>
      </c>
      <c r="AA878"/>
      <c r="AB878"/>
      <c r="AC878"/>
      <c r="AD878"/>
    </row>
    <row r="879" spans="1:30">
      <c r="A879">
        <v>3110090073</v>
      </c>
      <c r="B879" t="s">
        <v>30</v>
      </c>
      <c r="C879" t="s">
        <v>61</v>
      </c>
      <c r="D879" t="s">
        <v>133</v>
      </c>
      <c r="E879" t="s">
        <v>1048</v>
      </c>
      <c r="F879" t="s">
        <v>340</v>
      </c>
      <c r="G879" t="s">
        <v>818</v>
      </c>
      <c r="H879" t="s">
        <v>35</v>
      </c>
      <c r="I879" t="s">
        <v>819</v>
      </c>
      <c r="J879" t="s">
        <v>1049</v>
      </c>
      <c r="K879" t="str">
        <f>"na"</f>
        <v>0</v>
      </c>
      <c r="L879">
        <v>2551386</v>
      </c>
      <c r="M879"/>
      <c r="N879" t="s">
        <v>38</v>
      </c>
      <c r="O879" t="s">
        <v>38</v>
      </c>
      <c r="P879" t="s">
        <v>53</v>
      </c>
      <c r="Q879" t="s">
        <v>38</v>
      </c>
      <c r="R879" t="s">
        <v>38</v>
      </c>
      <c r="S879" t="s">
        <v>42</v>
      </c>
      <c r="T879" t="s">
        <v>42</v>
      </c>
      <c r="U879" t="s">
        <v>1032</v>
      </c>
      <c r="V879" t="s">
        <v>1022</v>
      </c>
      <c r="W879" t="s">
        <v>1032</v>
      </c>
      <c r="X879" t="s">
        <v>824</v>
      </c>
      <c r="Y879" t="s">
        <v>1023</v>
      </c>
      <c r="Z879" t="s">
        <v>47</v>
      </c>
      <c r="AA879"/>
      <c r="AB879"/>
      <c r="AC879"/>
      <c r="AD879"/>
    </row>
    <row r="880" spans="1:30">
      <c r="A880">
        <v>3110090081</v>
      </c>
      <c r="B880" t="s">
        <v>30</v>
      </c>
      <c r="C880" t="s">
        <v>61</v>
      </c>
      <c r="D880" t="s">
        <v>133</v>
      </c>
      <c r="E880" t="s">
        <v>55</v>
      </c>
      <c r="F880" t="s">
        <v>64</v>
      </c>
      <c r="G880" t="s">
        <v>99</v>
      </c>
      <c r="H880" t="s">
        <v>50</v>
      </c>
      <c r="I880" t="s">
        <v>375</v>
      </c>
      <c r="J880" t="s">
        <v>59</v>
      </c>
      <c r="K880" t="str">
        <f>"na"</f>
        <v>0</v>
      </c>
      <c r="L880">
        <v>36000</v>
      </c>
      <c r="M880"/>
      <c r="N880" t="s">
        <v>38</v>
      </c>
      <c r="O880" t="s">
        <v>38</v>
      </c>
      <c r="P880" t="s">
        <v>53</v>
      </c>
      <c r="Q880" t="s">
        <v>38</v>
      </c>
      <c r="R880" t="s">
        <v>38</v>
      </c>
      <c r="S880" t="s">
        <v>42</v>
      </c>
      <c r="T880" t="s">
        <v>42</v>
      </c>
      <c r="U880" t="s">
        <v>1032</v>
      </c>
      <c r="V880" t="s">
        <v>1022</v>
      </c>
      <c r="W880" t="s">
        <v>1032</v>
      </c>
      <c r="X880" t="s">
        <v>824</v>
      </c>
      <c r="Y880" t="s">
        <v>1023</v>
      </c>
      <c r="Z880" t="s">
        <v>47</v>
      </c>
      <c r="AA880"/>
      <c r="AB880"/>
      <c r="AC880"/>
      <c r="AD880"/>
    </row>
    <row r="881" spans="1:30">
      <c r="A881">
        <v>3110090082</v>
      </c>
      <c r="B881" t="s">
        <v>30</v>
      </c>
      <c r="C881" t="s">
        <v>61</v>
      </c>
      <c r="D881" t="s">
        <v>133</v>
      </c>
      <c r="E881" t="s">
        <v>55</v>
      </c>
      <c r="F881" t="s">
        <v>33</v>
      </c>
      <c r="G881" t="s">
        <v>586</v>
      </c>
      <c r="H881" t="s">
        <v>35</v>
      </c>
      <c r="I881" t="s">
        <v>262</v>
      </c>
      <c r="J881" t="s">
        <v>1050</v>
      </c>
      <c r="K881" t="str">
        <f>"2k1312719_bc"</f>
        <v>0</v>
      </c>
      <c r="L881">
        <v>718500</v>
      </c>
      <c r="M881"/>
      <c r="N881" t="s">
        <v>38</v>
      </c>
      <c r="O881" t="s">
        <v>38</v>
      </c>
      <c r="P881" t="s">
        <v>53</v>
      </c>
      <c r="Q881" t="s">
        <v>38</v>
      </c>
      <c r="R881" t="s">
        <v>38</v>
      </c>
      <c r="S881" t="s">
        <v>42</v>
      </c>
      <c r="T881" t="s">
        <v>42</v>
      </c>
      <c r="U881" t="s">
        <v>1032</v>
      </c>
      <c r="V881" t="s">
        <v>1022</v>
      </c>
      <c r="W881" t="s">
        <v>1032</v>
      </c>
      <c r="X881" t="s">
        <v>824</v>
      </c>
      <c r="Y881" t="s">
        <v>1023</v>
      </c>
      <c r="Z881" t="s">
        <v>47</v>
      </c>
      <c r="AA881"/>
      <c r="AB881"/>
      <c r="AC881"/>
      <c r="AD881"/>
    </row>
    <row r="882" spans="1:30">
      <c r="A882">
        <v>3110090083</v>
      </c>
      <c r="B882" t="s">
        <v>30</v>
      </c>
      <c r="C882" t="s">
        <v>61</v>
      </c>
      <c r="D882" t="s">
        <v>133</v>
      </c>
      <c r="E882" t="s">
        <v>55</v>
      </c>
      <c r="F882" t="s">
        <v>64</v>
      </c>
      <c r="G882" t="s">
        <v>476</v>
      </c>
      <c r="H882" t="s">
        <v>50</v>
      </c>
      <c r="I882" t="s">
        <v>375</v>
      </c>
      <c r="J882" t="s">
        <v>59</v>
      </c>
      <c r="K882" t="str">
        <f>"na"</f>
        <v>0</v>
      </c>
      <c r="L882">
        <v>30000</v>
      </c>
      <c r="M882"/>
      <c r="N882" t="s">
        <v>38</v>
      </c>
      <c r="O882" t="s">
        <v>38</v>
      </c>
      <c r="P882" t="s">
        <v>53</v>
      </c>
      <c r="Q882" t="s">
        <v>38</v>
      </c>
      <c r="R882" t="s">
        <v>38</v>
      </c>
      <c r="S882" t="s">
        <v>42</v>
      </c>
      <c r="T882" t="s">
        <v>42</v>
      </c>
      <c r="U882" t="s">
        <v>1032</v>
      </c>
      <c r="V882" t="s">
        <v>1022</v>
      </c>
      <c r="W882" t="s">
        <v>1032</v>
      </c>
      <c r="X882" t="s">
        <v>824</v>
      </c>
      <c r="Y882" t="s">
        <v>1023</v>
      </c>
      <c r="Z882" t="s">
        <v>47</v>
      </c>
      <c r="AA882"/>
      <c r="AB882"/>
      <c r="AC882"/>
      <c r="AD882"/>
    </row>
    <row r="883" spans="1:30">
      <c r="A883">
        <v>3110090084</v>
      </c>
      <c r="B883" t="s">
        <v>30</v>
      </c>
      <c r="C883" t="s">
        <v>61</v>
      </c>
      <c r="D883" t="s">
        <v>133</v>
      </c>
      <c r="E883" t="s">
        <v>72</v>
      </c>
      <c r="F883" t="s">
        <v>166</v>
      </c>
      <c r="G883" t="s">
        <v>167</v>
      </c>
      <c r="H883" t="s">
        <v>35</v>
      </c>
      <c r="I883" t="s">
        <v>168</v>
      </c>
      <c r="J883" t="s">
        <v>248</v>
      </c>
      <c r="K883" t="str">
        <f>"l19170925089"</f>
        <v>0</v>
      </c>
      <c r="L883">
        <v>65000</v>
      </c>
      <c r="M883"/>
      <c r="N883" t="s">
        <v>38</v>
      </c>
      <c r="O883" t="s">
        <v>38</v>
      </c>
      <c r="P883" t="s">
        <v>53</v>
      </c>
      <c r="Q883" t="s">
        <v>38</v>
      </c>
      <c r="R883" t="s">
        <v>38</v>
      </c>
      <c r="S883" t="s">
        <v>42</v>
      </c>
      <c r="T883" t="s">
        <v>42</v>
      </c>
      <c r="U883" t="s">
        <v>1032</v>
      </c>
      <c r="V883" t="s">
        <v>1022</v>
      </c>
      <c r="W883" t="s">
        <v>1032</v>
      </c>
      <c r="X883" t="s">
        <v>824</v>
      </c>
      <c r="Y883" t="s">
        <v>1023</v>
      </c>
      <c r="Z883" t="s">
        <v>47</v>
      </c>
      <c r="AA883"/>
      <c r="AB883"/>
      <c r="AC883"/>
      <c r="AD883"/>
    </row>
    <row r="884" spans="1:30">
      <c r="A884">
        <v>3110090085</v>
      </c>
      <c r="B884" t="s">
        <v>30</v>
      </c>
      <c r="C884" t="s">
        <v>61</v>
      </c>
      <c r="D884" t="s">
        <v>133</v>
      </c>
      <c r="E884" t="s">
        <v>72</v>
      </c>
      <c r="F884" t="s">
        <v>147</v>
      </c>
      <c r="G884" t="s">
        <v>360</v>
      </c>
      <c r="H884" t="s">
        <v>35</v>
      </c>
      <c r="I884" t="s">
        <v>420</v>
      </c>
      <c r="J884" t="s">
        <v>59</v>
      </c>
      <c r="K884" t="str">
        <f>"na"</f>
        <v>0</v>
      </c>
      <c r="L884">
        <v>719000</v>
      </c>
      <c r="M884"/>
      <c r="N884" t="s">
        <v>38</v>
      </c>
      <c r="O884" t="s">
        <v>38</v>
      </c>
      <c r="P884" t="s">
        <v>53</v>
      </c>
      <c r="Q884" t="s">
        <v>38</v>
      </c>
      <c r="R884" t="s">
        <v>38</v>
      </c>
      <c r="S884" t="s">
        <v>42</v>
      </c>
      <c r="T884" t="s">
        <v>42</v>
      </c>
      <c r="U884" t="s">
        <v>1032</v>
      </c>
      <c r="V884" t="s">
        <v>1022</v>
      </c>
      <c r="W884" t="s">
        <v>1032</v>
      </c>
      <c r="X884" t="s">
        <v>824</v>
      </c>
      <c r="Y884" t="s">
        <v>1023</v>
      </c>
      <c r="Z884" t="s">
        <v>47</v>
      </c>
      <c r="AA884"/>
      <c r="AB884"/>
      <c r="AC884"/>
      <c r="AD884"/>
    </row>
    <row r="885" spans="1:30">
      <c r="A885">
        <v>3110090089</v>
      </c>
      <c r="B885" t="s">
        <v>30</v>
      </c>
      <c r="C885" t="s">
        <v>61</v>
      </c>
      <c r="D885" t="s">
        <v>133</v>
      </c>
      <c r="E885" t="s">
        <v>72</v>
      </c>
      <c r="F885" t="s">
        <v>166</v>
      </c>
      <c r="G885" t="s">
        <v>167</v>
      </c>
      <c r="H885" t="s">
        <v>35</v>
      </c>
      <c r="I885" t="s">
        <v>432</v>
      </c>
      <c r="J885" t="s">
        <v>1051</v>
      </c>
      <c r="K885" t="str">
        <f>"0102238"</f>
        <v>0</v>
      </c>
      <c r="L885">
        <v>65000</v>
      </c>
      <c r="M885"/>
      <c r="N885" t="s">
        <v>38</v>
      </c>
      <c r="O885" t="s">
        <v>38</v>
      </c>
      <c r="P885" t="s">
        <v>53</v>
      </c>
      <c r="Q885" t="s">
        <v>38</v>
      </c>
      <c r="R885" t="s">
        <v>38</v>
      </c>
      <c r="S885" t="s">
        <v>42</v>
      </c>
      <c r="T885" t="s">
        <v>42</v>
      </c>
      <c r="U885" t="s">
        <v>1032</v>
      </c>
      <c r="V885" t="s">
        <v>1022</v>
      </c>
      <c r="W885" t="s">
        <v>1032</v>
      </c>
      <c r="X885" t="s">
        <v>824</v>
      </c>
      <c r="Y885" t="s">
        <v>1023</v>
      </c>
      <c r="Z885" t="s">
        <v>47</v>
      </c>
      <c r="AA885"/>
      <c r="AB885"/>
      <c r="AC885"/>
      <c r="AD885"/>
    </row>
    <row r="886" spans="1:30">
      <c r="A886">
        <v>3110090090</v>
      </c>
      <c r="B886" t="s">
        <v>30</v>
      </c>
      <c r="C886" t="s">
        <v>61</v>
      </c>
      <c r="D886" t="s">
        <v>133</v>
      </c>
      <c r="E886" t="s">
        <v>72</v>
      </c>
      <c r="F886" t="s">
        <v>64</v>
      </c>
      <c r="G886" t="s">
        <v>99</v>
      </c>
      <c r="H886" t="s">
        <v>50</v>
      </c>
      <c r="I886" t="s">
        <v>408</v>
      </c>
      <c r="J886" t="s">
        <v>770</v>
      </c>
      <c r="K886" t="str">
        <f>"mzj5d122638"</f>
        <v>0</v>
      </c>
      <c r="L886">
        <v>30300</v>
      </c>
      <c r="M886"/>
      <c r="N886" t="s">
        <v>38</v>
      </c>
      <c r="O886" t="s">
        <v>38</v>
      </c>
      <c r="P886" t="s">
        <v>53</v>
      </c>
      <c r="Q886" t="s">
        <v>38</v>
      </c>
      <c r="R886" t="s">
        <v>38</v>
      </c>
      <c r="S886" t="s">
        <v>42</v>
      </c>
      <c r="T886" t="s">
        <v>42</v>
      </c>
      <c r="U886" t="s">
        <v>1032</v>
      </c>
      <c r="V886" t="s">
        <v>1022</v>
      </c>
      <c r="W886" t="s">
        <v>1032</v>
      </c>
      <c r="X886" t="s">
        <v>824</v>
      </c>
      <c r="Y886" t="s">
        <v>1023</v>
      </c>
      <c r="Z886" t="s">
        <v>47</v>
      </c>
      <c r="AA886"/>
      <c r="AB886"/>
      <c r="AC886"/>
      <c r="AD886"/>
    </row>
    <row r="887" spans="1:30">
      <c r="A887">
        <v>3110090091</v>
      </c>
      <c r="B887" t="s">
        <v>30</v>
      </c>
      <c r="C887" t="s">
        <v>61</v>
      </c>
      <c r="D887" t="s">
        <v>133</v>
      </c>
      <c r="E887" t="s">
        <v>72</v>
      </c>
      <c r="F887" t="s">
        <v>64</v>
      </c>
      <c r="G887" t="s">
        <v>99</v>
      </c>
      <c r="H887" t="s">
        <v>50</v>
      </c>
      <c r="I887" t="s">
        <v>375</v>
      </c>
      <c r="J887" t="s">
        <v>59</v>
      </c>
      <c r="K887" t="str">
        <f>"na"</f>
        <v>0</v>
      </c>
      <c r="L887">
        <v>36000</v>
      </c>
      <c r="M887"/>
      <c r="N887" t="s">
        <v>38</v>
      </c>
      <c r="O887" t="s">
        <v>38</v>
      </c>
      <c r="P887" t="s">
        <v>53</v>
      </c>
      <c r="Q887" t="s">
        <v>38</v>
      </c>
      <c r="R887" t="s">
        <v>38</v>
      </c>
      <c r="S887" t="s">
        <v>42</v>
      </c>
      <c r="T887" t="s">
        <v>42</v>
      </c>
      <c r="U887" t="s">
        <v>1032</v>
      </c>
      <c r="V887" t="s">
        <v>1022</v>
      </c>
      <c r="W887" t="s">
        <v>1032</v>
      </c>
      <c r="X887" t="s">
        <v>824</v>
      </c>
      <c r="Y887" t="s">
        <v>1023</v>
      </c>
      <c r="Z887" t="s">
        <v>47</v>
      </c>
      <c r="AA887"/>
      <c r="AB887"/>
      <c r="AC887"/>
      <c r="AD887"/>
    </row>
    <row r="888" spans="1:30">
      <c r="A888">
        <v>3110110001</v>
      </c>
      <c r="B888" t="s">
        <v>30</v>
      </c>
      <c r="C888" t="s">
        <v>61</v>
      </c>
      <c r="D888" t="s">
        <v>62</v>
      </c>
      <c r="E888" t="s">
        <v>48</v>
      </c>
      <c r="F888" t="s">
        <v>48</v>
      </c>
      <c r="G888" t="s">
        <v>431</v>
      </c>
      <c r="H888" t="s">
        <v>35</v>
      </c>
      <c r="I888" t="s">
        <v>621</v>
      </c>
      <c r="J888" t="s">
        <v>1052</v>
      </c>
      <c r="K888" t="str">
        <f>"K10011917156"</f>
        <v>0</v>
      </c>
      <c r="L888">
        <v>352160</v>
      </c>
      <c r="M888"/>
      <c r="N888" t="s">
        <v>38</v>
      </c>
      <c r="O888" t="s">
        <v>38</v>
      </c>
      <c r="P888" t="s">
        <v>53</v>
      </c>
      <c r="Q888" t="s">
        <v>38</v>
      </c>
      <c r="R888" t="s">
        <v>38</v>
      </c>
      <c r="S888" t="s">
        <v>42</v>
      </c>
      <c r="T888" t="s">
        <v>42</v>
      </c>
      <c r="U888" t="s">
        <v>1032</v>
      </c>
      <c r="V888" t="s">
        <v>636</v>
      </c>
      <c r="W888" t="s">
        <v>1032</v>
      </c>
      <c r="X888" t="s">
        <v>824</v>
      </c>
      <c r="Y888" t="s">
        <v>1053</v>
      </c>
      <c r="Z888" t="s">
        <v>47</v>
      </c>
      <c r="AA888"/>
      <c r="AB888"/>
      <c r="AC888"/>
      <c r="AD888" t="s">
        <v>638</v>
      </c>
    </row>
    <row r="889" spans="1:30">
      <c r="A889">
        <v>3110110002</v>
      </c>
      <c r="B889" t="s">
        <v>30</v>
      </c>
      <c r="C889" t="s">
        <v>61</v>
      </c>
      <c r="D889" t="s">
        <v>62</v>
      </c>
      <c r="E889" t="s">
        <v>48</v>
      </c>
      <c r="F889" t="s">
        <v>48</v>
      </c>
      <c r="G889" t="s">
        <v>1044</v>
      </c>
      <c r="H889" t="s">
        <v>50</v>
      </c>
      <c r="I889" t="s">
        <v>621</v>
      </c>
      <c r="J889" t="s">
        <v>1054</v>
      </c>
      <c r="K889" t="str">
        <f>"Na"</f>
        <v>0</v>
      </c>
      <c r="L889">
        <v>15000</v>
      </c>
      <c r="M889"/>
      <c r="N889" t="s">
        <v>38</v>
      </c>
      <c r="O889" t="s">
        <v>38</v>
      </c>
      <c r="P889" t="s">
        <v>53</v>
      </c>
      <c r="Q889" t="s">
        <v>38</v>
      </c>
      <c r="R889" t="s">
        <v>38</v>
      </c>
      <c r="S889" t="s">
        <v>42</v>
      </c>
      <c r="T889" t="s">
        <v>42</v>
      </c>
      <c r="U889" t="s">
        <v>1032</v>
      </c>
      <c r="V889" t="s">
        <v>636</v>
      </c>
      <c r="W889" t="s">
        <v>1032</v>
      </c>
      <c r="X889" t="s">
        <v>824</v>
      </c>
      <c r="Y889" t="s">
        <v>1053</v>
      </c>
      <c r="Z889" t="s">
        <v>47</v>
      </c>
      <c r="AA889"/>
      <c r="AB889"/>
      <c r="AC889"/>
      <c r="AD889" t="s">
        <v>638</v>
      </c>
    </row>
    <row r="890" spans="1:30">
      <c r="A890">
        <v>3110110003</v>
      </c>
      <c r="B890" t="s">
        <v>30</v>
      </c>
      <c r="C890" t="s">
        <v>61</v>
      </c>
      <c r="D890" t="s">
        <v>62</v>
      </c>
      <c r="E890" t="s">
        <v>48</v>
      </c>
      <c r="F890" t="s">
        <v>48</v>
      </c>
      <c r="G890" t="s">
        <v>858</v>
      </c>
      <c r="H890" t="s">
        <v>35</v>
      </c>
      <c r="I890" t="s">
        <v>621</v>
      </c>
      <c r="J890" t="s">
        <v>1010</v>
      </c>
      <c r="K890" t="str">
        <f>"60811"</f>
        <v>0</v>
      </c>
      <c r="L890">
        <v>1045000</v>
      </c>
      <c r="M890"/>
      <c r="N890" t="s">
        <v>38</v>
      </c>
      <c r="O890" t="s">
        <v>38</v>
      </c>
      <c r="P890" t="s">
        <v>53</v>
      </c>
      <c r="Q890" t="s">
        <v>38</v>
      </c>
      <c r="R890" t="s">
        <v>38</v>
      </c>
      <c r="S890" t="s">
        <v>42</v>
      </c>
      <c r="T890" t="s">
        <v>42</v>
      </c>
      <c r="U890" t="s">
        <v>1032</v>
      </c>
      <c r="V890" t="s">
        <v>636</v>
      </c>
      <c r="W890" t="s">
        <v>1032</v>
      </c>
      <c r="X890" t="s">
        <v>824</v>
      </c>
      <c r="Y890" t="s">
        <v>1053</v>
      </c>
      <c r="Z890" t="s">
        <v>47</v>
      </c>
      <c r="AA890"/>
      <c r="AB890"/>
      <c r="AC890"/>
      <c r="AD890" t="s">
        <v>638</v>
      </c>
    </row>
    <row r="891" spans="1:30">
      <c r="A891">
        <v>3110110005</v>
      </c>
      <c r="B891" t="s">
        <v>30</v>
      </c>
      <c r="C891" t="s">
        <v>61</v>
      </c>
      <c r="D891" t="s">
        <v>62</v>
      </c>
      <c r="E891" t="s">
        <v>48</v>
      </c>
      <c r="F891" t="s">
        <v>48</v>
      </c>
      <c r="G891" t="s">
        <v>646</v>
      </c>
      <c r="H891" t="s">
        <v>50</v>
      </c>
      <c r="I891" t="s">
        <v>647</v>
      </c>
      <c r="J891" t="s">
        <v>59</v>
      </c>
      <c r="K891" t="str">
        <f>"na"</f>
        <v>0</v>
      </c>
      <c r="L891">
        <v>30000</v>
      </c>
      <c r="M891"/>
      <c r="N891" t="s">
        <v>38</v>
      </c>
      <c r="O891" t="s">
        <v>38</v>
      </c>
      <c r="P891" t="s">
        <v>53</v>
      </c>
      <c r="Q891" t="s">
        <v>38</v>
      </c>
      <c r="R891" t="s">
        <v>38</v>
      </c>
      <c r="S891" t="s">
        <v>42</v>
      </c>
      <c r="T891" t="s">
        <v>42</v>
      </c>
      <c r="U891" t="s">
        <v>1032</v>
      </c>
      <c r="V891" t="s">
        <v>636</v>
      </c>
      <c r="W891" t="s">
        <v>1032</v>
      </c>
      <c r="X891" t="s">
        <v>824</v>
      </c>
      <c r="Y891" t="s">
        <v>1053</v>
      </c>
      <c r="Z891" t="s">
        <v>47</v>
      </c>
      <c r="AA891"/>
      <c r="AB891"/>
      <c r="AC891"/>
      <c r="AD891" t="s">
        <v>638</v>
      </c>
    </row>
    <row r="892" spans="1:30">
      <c r="A892">
        <v>3110110006</v>
      </c>
      <c r="B892" t="s">
        <v>30</v>
      </c>
      <c r="C892" t="s">
        <v>61</v>
      </c>
      <c r="D892" t="s">
        <v>62</v>
      </c>
      <c r="E892" t="s">
        <v>48</v>
      </c>
      <c r="F892" t="s">
        <v>48</v>
      </c>
      <c r="G892" t="s">
        <v>294</v>
      </c>
      <c r="H892" t="s">
        <v>50</v>
      </c>
      <c r="I892" t="s">
        <v>290</v>
      </c>
      <c r="J892" t="s">
        <v>59</v>
      </c>
      <c r="K892" t="str">
        <f>"na"</f>
        <v>0</v>
      </c>
      <c r="L892">
        <v>15000</v>
      </c>
      <c r="M892"/>
      <c r="N892" t="s">
        <v>38</v>
      </c>
      <c r="O892" t="s">
        <v>38</v>
      </c>
      <c r="P892" t="s">
        <v>53</v>
      </c>
      <c r="Q892" t="s">
        <v>38</v>
      </c>
      <c r="R892" t="s">
        <v>38</v>
      </c>
      <c r="S892" t="s">
        <v>42</v>
      </c>
      <c r="T892" t="s">
        <v>42</v>
      </c>
      <c r="U892" t="s">
        <v>1032</v>
      </c>
      <c r="V892" t="s">
        <v>636</v>
      </c>
      <c r="W892" t="s">
        <v>1032</v>
      </c>
      <c r="X892" t="s">
        <v>824</v>
      </c>
      <c r="Y892" t="s">
        <v>1053</v>
      </c>
      <c r="Z892" t="s">
        <v>47</v>
      </c>
      <c r="AA892"/>
      <c r="AB892"/>
      <c r="AC892"/>
      <c r="AD892" t="s">
        <v>638</v>
      </c>
    </row>
    <row r="893" spans="1:30">
      <c r="A893">
        <v>3110110008</v>
      </c>
      <c r="B893" t="s">
        <v>30</v>
      </c>
      <c r="C893" t="s">
        <v>61</v>
      </c>
      <c r="D893" t="s">
        <v>62</v>
      </c>
      <c r="E893" t="s">
        <v>48</v>
      </c>
      <c r="F893" t="s">
        <v>48</v>
      </c>
      <c r="G893" t="s">
        <v>203</v>
      </c>
      <c r="H893" t="s">
        <v>50</v>
      </c>
      <c r="I893" t="s">
        <v>173</v>
      </c>
      <c r="J893" t="s">
        <v>975</v>
      </c>
      <c r="K893" t="str">
        <f>"ZEJN3323"</f>
        <v>0</v>
      </c>
      <c r="L893">
        <v>36125</v>
      </c>
      <c r="M893"/>
      <c r="N893" t="s">
        <v>38</v>
      </c>
      <c r="O893" t="s">
        <v>38</v>
      </c>
      <c r="P893" t="s">
        <v>53</v>
      </c>
      <c r="Q893" t="s">
        <v>38</v>
      </c>
      <c r="R893" t="s">
        <v>38</v>
      </c>
      <c r="S893" t="s">
        <v>42</v>
      </c>
      <c r="T893" t="s">
        <v>42</v>
      </c>
      <c r="U893" t="s">
        <v>1032</v>
      </c>
      <c r="V893" t="s">
        <v>636</v>
      </c>
      <c r="W893" t="s">
        <v>1032</v>
      </c>
      <c r="X893" t="s">
        <v>824</v>
      </c>
      <c r="Y893" t="s">
        <v>1053</v>
      </c>
      <c r="Z893" t="s">
        <v>47</v>
      </c>
      <c r="AA893"/>
      <c r="AB893"/>
      <c r="AC893"/>
      <c r="AD893" t="s">
        <v>638</v>
      </c>
    </row>
    <row r="894" spans="1:30">
      <c r="A894">
        <v>3110110009</v>
      </c>
      <c r="B894" t="s">
        <v>30</v>
      </c>
      <c r="C894" t="s">
        <v>61</v>
      </c>
      <c r="D894" t="s">
        <v>62</v>
      </c>
      <c r="E894" t="s">
        <v>48</v>
      </c>
      <c r="F894" t="s">
        <v>118</v>
      </c>
      <c r="G894" t="s">
        <v>657</v>
      </c>
      <c r="H894" t="s">
        <v>35</v>
      </c>
      <c r="I894" t="s">
        <v>173</v>
      </c>
      <c r="J894" t="s">
        <v>1055</v>
      </c>
      <c r="K894" t="str">
        <f>"ZFER14921"</f>
        <v>0</v>
      </c>
      <c r="L894">
        <v>126000</v>
      </c>
      <c r="M894"/>
      <c r="N894" t="s">
        <v>38</v>
      </c>
      <c r="O894" t="s">
        <v>38</v>
      </c>
      <c r="P894" t="s">
        <v>53</v>
      </c>
      <c r="Q894" t="s">
        <v>38</v>
      </c>
      <c r="R894" t="s">
        <v>38</v>
      </c>
      <c r="S894" t="s">
        <v>42</v>
      </c>
      <c r="T894" t="s">
        <v>42</v>
      </c>
      <c r="U894" t="s">
        <v>1032</v>
      </c>
      <c r="V894" t="s">
        <v>636</v>
      </c>
      <c r="W894" t="s">
        <v>1032</v>
      </c>
      <c r="X894" t="s">
        <v>824</v>
      </c>
      <c r="Y894" t="s">
        <v>1053</v>
      </c>
      <c r="Z894" t="s">
        <v>47</v>
      </c>
      <c r="AA894"/>
      <c r="AB894"/>
      <c r="AC894"/>
      <c r="AD894" t="s">
        <v>638</v>
      </c>
    </row>
    <row r="895" spans="1:30">
      <c r="A895">
        <v>3110110010</v>
      </c>
      <c r="B895" t="s">
        <v>30</v>
      </c>
      <c r="C895" t="s">
        <v>61</v>
      </c>
      <c r="D895" t="s">
        <v>62</v>
      </c>
      <c r="E895" t="s">
        <v>48</v>
      </c>
      <c r="F895" t="s">
        <v>48</v>
      </c>
      <c r="G895" t="s">
        <v>203</v>
      </c>
      <c r="H895" t="s">
        <v>50</v>
      </c>
      <c r="I895" t="s">
        <v>1056</v>
      </c>
      <c r="J895" t="s">
        <v>59</v>
      </c>
      <c r="K895" t="str">
        <f>"na"</f>
        <v>0</v>
      </c>
      <c r="L895">
        <v>20000</v>
      </c>
      <c r="M895"/>
      <c r="N895" t="s">
        <v>38</v>
      </c>
      <c r="O895" t="s">
        <v>38</v>
      </c>
      <c r="P895" t="s">
        <v>53</v>
      </c>
      <c r="Q895" t="s">
        <v>38</v>
      </c>
      <c r="R895" t="s">
        <v>38</v>
      </c>
      <c r="S895" t="s">
        <v>42</v>
      </c>
      <c r="T895" t="s">
        <v>42</v>
      </c>
      <c r="U895" t="s">
        <v>1032</v>
      </c>
      <c r="V895" t="s">
        <v>636</v>
      </c>
      <c r="W895" t="s">
        <v>1032</v>
      </c>
      <c r="X895" t="s">
        <v>824</v>
      </c>
      <c r="Y895" t="s">
        <v>1053</v>
      </c>
      <c r="Z895" t="s">
        <v>47</v>
      </c>
      <c r="AA895"/>
      <c r="AB895"/>
      <c r="AC895"/>
      <c r="AD895" t="s">
        <v>638</v>
      </c>
    </row>
    <row r="896" spans="1:30">
      <c r="A896">
        <v>3110110012</v>
      </c>
      <c r="B896" t="s">
        <v>30</v>
      </c>
      <c r="C896" t="s">
        <v>61</v>
      </c>
      <c r="D896" t="s">
        <v>62</v>
      </c>
      <c r="E896" t="s">
        <v>842</v>
      </c>
      <c r="F896" t="s">
        <v>33</v>
      </c>
      <c r="G896" t="s">
        <v>843</v>
      </c>
      <c r="H896" t="s">
        <v>35</v>
      </c>
      <c r="I896" t="s">
        <v>962</v>
      </c>
      <c r="J896" t="s">
        <v>1057</v>
      </c>
      <c r="K896" t="str">
        <f>"86873262"</f>
        <v>0</v>
      </c>
      <c r="L896">
        <v>950000</v>
      </c>
      <c r="M896"/>
      <c r="N896" t="s">
        <v>38</v>
      </c>
      <c r="O896" t="s">
        <v>38</v>
      </c>
      <c r="P896" t="s">
        <v>53</v>
      </c>
      <c r="Q896" t="s">
        <v>38</v>
      </c>
      <c r="R896" t="s">
        <v>38</v>
      </c>
      <c r="S896" t="s">
        <v>42</v>
      </c>
      <c r="T896" t="s">
        <v>42</v>
      </c>
      <c r="U896" t="s">
        <v>1032</v>
      </c>
      <c r="V896" t="s">
        <v>636</v>
      </c>
      <c r="W896" t="s">
        <v>1032</v>
      </c>
      <c r="X896" t="s">
        <v>824</v>
      </c>
      <c r="Y896" t="s">
        <v>1053</v>
      </c>
      <c r="Z896" t="s">
        <v>47</v>
      </c>
      <c r="AA896"/>
      <c r="AB896"/>
      <c r="AC896"/>
      <c r="AD896" t="s">
        <v>638</v>
      </c>
    </row>
    <row r="897" spans="1:30">
      <c r="A897">
        <v>3110110018</v>
      </c>
      <c r="B897" t="s">
        <v>30</v>
      </c>
      <c r="C897" t="s">
        <v>61</v>
      </c>
      <c r="D897" t="s">
        <v>62</v>
      </c>
      <c r="E897" t="s">
        <v>55</v>
      </c>
      <c r="F897" t="s">
        <v>33</v>
      </c>
      <c r="G897" t="s">
        <v>586</v>
      </c>
      <c r="H897" t="s">
        <v>35</v>
      </c>
      <c r="I897" t="s">
        <v>262</v>
      </c>
      <c r="J897" t="s">
        <v>1050</v>
      </c>
      <c r="K897" t="str">
        <f>"2K1312725-BC"</f>
        <v>0</v>
      </c>
      <c r="L897">
        <v>718500</v>
      </c>
      <c r="M897"/>
      <c r="N897" t="s">
        <v>38</v>
      </c>
      <c r="O897" t="s">
        <v>38</v>
      </c>
      <c r="P897" t="s">
        <v>53</v>
      </c>
      <c r="Q897" t="s">
        <v>38</v>
      </c>
      <c r="R897" t="s">
        <v>38</v>
      </c>
      <c r="S897" t="s">
        <v>42</v>
      </c>
      <c r="T897" t="s">
        <v>42</v>
      </c>
      <c r="U897" t="s">
        <v>1032</v>
      </c>
      <c r="V897" t="s">
        <v>636</v>
      </c>
      <c r="W897" t="s">
        <v>1032</v>
      </c>
      <c r="X897" t="s">
        <v>824</v>
      </c>
      <c r="Y897" t="s">
        <v>1053</v>
      </c>
      <c r="Z897" t="s">
        <v>47</v>
      </c>
      <c r="AA897"/>
      <c r="AB897"/>
      <c r="AC897"/>
      <c r="AD897" t="s">
        <v>638</v>
      </c>
    </row>
    <row r="898" spans="1:30">
      <c r="A898">
        <v>3110110021</v>
      </c>
      <c r="B898" t="s">
        <v>30</v>
      </c>
      <c r="C898" t="s">
        <v>61</v>
      </c>
      <c r="D898" t="s">
        <v>62</v>
      </c>
      <c r="E898" t="s">
        <v>55</v>
      </c>
      <c r="F898" t="s">
        <v>143</v>
      </c>
      <c r="G898" t="s">
        <v>144</v>
      </c>
      <c r="H898" t="s">
        <v>50</v>
      </c>
      <c r="I898" t="s">
        <v>404</v>
      </c>
      <c r="J898" t="s">
        <v>1058</v>
      </c>
      <c r="K898" t="str">
        <f>"na"</f>
        <v>0</v>
      </c>
      <c r="L898">
        <v>34335</v>
      </c>
      <c r="M898"/>
      <c r="N898" t="s">
        <v>38</v>
      </c>
      <c r="O898" t="s">
        <v>38</v>
      </c>
      <c r="P898" t="s">
        <v>53</v>
      </c>
      <c r="Q898" t="s">
        <v>38</v>
      </c>
      <c r="R898" t="s">
        <v>38</v>
      </c>
      <c r="S898" t="s">
        <v>42</v>
      </c>
      <c r="T898" t="s">
        <v>42</v>
      </c>
      <c r="U898" t="s">
        <v>1032</v>
      </c>
      <c r="V898" t="s">
        <v>636</v>
      </c>
      <c r="W898" t="s">
        <v>1032</v>
      </c>
      <c r="X898" t="s">
        <v>824</v>
      </c>
      <c r="Y898" t="s">
        <v>1053</v>
      </c>
      <c r="Z898" t="s">
        <v>47</v>
      </c>
      <c r="AA898"/>
      <c r="AB898"/>
      <c r="AC898"/>
      <c r="AD898" t="s">
        <v>638</v>
      </c>
    </row>
    <row r="899" spans="1:30">
      <c r="A899">
        <v>3110110022</v>
      </c>
      <c r="B899" t="s">
        <v>30</v>
      </c>
      <c r="C899" t="s">
        <v>61</v>
      </c>
      <c r="D899" t="s">
        <v>62</v>
      </c>
      <c r="E899" t="s">
        <v>55</v>
      </c>
      <c r="F899" t="s">
        <v>143</v>
      </c>
      <c r="G899" t="s">
        <v>144</v>
      </c>
      <c r="H899" t="s">
        <v>50</v>
      </c>
      <c r="I899" t="s">
        <v>404</v>
      </c>
      <c r="J899" t="s">
        <v>1058</v>
      </c>
      <c r="K899" t="str">
        <f>"na"</f>
        <v>0</v>
      </c>
      <c r="L899">
        <v>34335</v>
      </c>
      <c r="M899"/>
      <c r="N899" t="s">
        <v>38</v>
      </c>
      <c r="O899" t="s">
        <v>38</v>
      </c>
      <c r="P899" t="s">
        <v>53</v>
      </c>
      <c r="Q899" t="s">
        <v>38</v>
      </c>
      <c r="R899" t="s">
        <v>38</v>
      </c>
      <c r="S899" t="s">
        <v>42</v>
      </c>
      <c r="T899" t="s">
        <v>42</v>
      </c>
      <c r="U899" t="s">
        <v>1032</v>
      </c>
      <c r="V899" t="s">
        <v>636</v>
      </c>
      <c r="W899" t="s">
        <v>1032</v>
      </c>
      <c r="X899" t="s">
        <v>824</v>
      </c>
      <c r="Y899" t="s">
        <v>1053</v>
      </c>
      <c r="Z899" t="s">
        <v>47</v>
      </c>
      <c r="AA899"/>
      <c r="AB899"/>
      <c r="AC899"/>
      <c r="AD899" t="s">
        <v>638</v>
      </c>
    </row>
    <row r="900" spans="1:30">
      <c r="A900">
        <v>3110110023</v>
      </c>
      <c r="B900" t="s">
        <v>30</v>
      </c>
      <c r="C900" t="s">
        <v>61</v>
      </c>
      <c r="D900" t="s">
        <v>62</v>
      </c>
      <c r="E900" t="s">
        <v>55</v>
      </c>
      <c r="F900" t="s">
        <v>143</v>
      </c>
      <c r="G900" t="s">
        <v>381</v>
      </c>
      <c r="H900" t="s">
        <v>50</v>
      </c>
      <c r="I900" t="s">
        <v>747</v>
      </c>
      <c r="J900" t="s">
        <v>1059</v>
      </c>
      <c r="K900" t="str">
        <f>"3010201903"</f>
        <v>0</v>
      </c>
      <c r="L900">
        <v>160000</v>
      </c>
      <c r="M900"/>
      <c r="N900" t="s">
        <v>38</v>
      </c>
      <c r="O900" t="s">
        <v>38</v>
      </c>
      <c r="P900" t="s">
        <v>53</v>
      </c>
      <c r="Q900" t="s">
        <v>38</v>
      </c>
      <c r="R900" t="s">
        <v>38</v>
      </c>
      <c r="S900" t="s">
        <v>42</v>
      </c>
      <c r="T900" t="s">
        <v>42</v>
      </c>
      <c r="U900" t="s">
        <v>1032</v>
      </c>
      <c r="V900" t="s">
        <v>636</v>
      </c>
      <c r="W900" t="s">
        <v>1032</v>
      </c>
      <c r="X900" t="s">
        <v>824</v>
      </c>
      <c r="Y900" t="s">
        <v>1053</v>
      </c>
      <c r="Z900" t="s">
        <v>47</v>
      </c>
      <c r="AA900"/>
      <c r="AB900"/>
      <c r="AC900"/>
      <c r="AD900" t="s">
        <v>638</v>
      </c>
    </row>
    <row r="901" spans="1:30">
      <c r="A901">
        <v>3110110024</v>
      </c>
      <c r="B901" t="s">
        <v>30</v>
      </c>
      <c r="C901" t="s">
        <v>61</v>
      </c>
      <c r="D901" t="s">
        <v>62</v>
      </c>
      <c r="E901" t="s">
        <v>55</v>
      </c>
      <c r="F901" t="s">
        <v>387</v>
      </c>
      <c r="G901" t="s">
        <v>388</v>
      </c>
      <c r="H901" t="s">
        <v>50</v>
      </c>
      <c r="I901" t="s">
        <v>749</v>
      </c>
      <c r="J901" t="s">
        <v>750</v>
      </c>
      <c r="K901" t="str">
        <f>"HT-17-C-4362"</f>
        <v>0</v>
      </c>
      <c r="L901">
        <v>220080</v>
      </c>
      <c r="M901"/>
      <c r="N901" t="s">
        <v>38</v>
      </c>
      <c r="O901" t="s">
        <v>38</v>
      </c>
      <c r="P901" t="s">
        <v>53</v>
      </c>
      <c r="Q901" t="s">
        <v>38</v>
      </c>
      <c r="R901" t="s">
        <v>38</v>
      </c>
      <c r="S901" t="s">
        <v>42</v>
      </c>
      <c r="T901" t="s">
        <v>42</v>
      </c>
      <c r="U901" t="s">
        <v>1032</v>
      </c>
      <c r="V901" t="s">
        <v>636</v>
      </c>
      <c r="W901" t="s">
        <v>1032</v>
      </c>
      <c r="X901" t="s">
        <v>824</v>
      </c>
      <c r="Y901" t="s">
        <v>1053</v>
      </c>
      <c r="Z901" t="s">
        <v>47</v>
      </c>
      <c r="AA901"/>
      <c r="AB901"/>
      <c r="AC901"/>
      <c r="AD901" t="s">
        <v>638</v>
      </c>
    </row>
    <row r="902" spans="1:30">
      <c r="A902">
        <v>3110110025</v>
      </c>
      <c r="B902" t="s">
        <v>30</v>
      </c>
      <c r="C902" t="s">
        <v>61</v>
      </c>
      <c r="D902" t="s">
        <v>62</v>
      </c>
      <c r="E902" t="s">
        <v>55</v>
      </c>
      <c r="F902" t="s">
        <v>113</v>
      </c>
      <c r="G902" t="s">
        <v>114</v>
      </c>
      <c r="H902" t="s">
        <v>35</v>
      </c>
      <c r="I902" t="s">
        <v>115</v>
      </c>
      <c r="J902" t="s">
        <v>1060</v>
      </c>
      <c r="K902" t="str">
        <f>"Asg-L 1207134"</f>
        <v>0</v>
      </c>
      <c r="L902">
        <v>79420</v>
      </c>
      <c r="M902"/>
      <c r="N902" t="s">
        <v>38</v>
      </c>
      <c r="O902" t="s">
        <v>38</v>
      </c>
      <c r="P902" t="s">
        <v>53</v>
      </c>
      <c r="Q902" t="s">
        <v>38</v>
      </c>
      <c r="R902" t="s">
        <v>38</v>
      </c>
      <c r="S902" t="s">
        <v>42</v>
      </c>
      <c r="T902" t="s">
        <v>42</v>
      </c>
      <c r="U902" t="s">
        <v>1032</v>
      </c>
      <c r="V902" t="s">
        <v>636</v>
      </c>
      <c r="W902" t="s">
        <v>1032</v>
      </c>
      <c r="X902" t="s">
        <v>824</v>
      </c>
      <c r="Y902" t="s">
        <v>1053</v>
      </c>
      <c r="Z902" t="s">
        <v>47</v>
      </c>
      <c r="AA902"/>
      <c r="AB902"/>
      <c r="AC902"/>
      <c r="AD902" t="s">
        <v>638</v>
      </c>
    </row>
    <row r="903" spans="1:30">
      <c r="A903">
        <v>3110110028</v>
      </c>
      <c r="B903" t="s">
        <v>30</v>
      </c>
      <c r="C903" t="s">
        <v>61</v>
      </c>
      <c r="D903" t="s">
        <v>62</v>
      </c>
      <c r="E903" t="s">
        <v>55</v>
      </c>
      <c r="F903" t="s">
        <v>64</v>
      </c>
      <c r="G903" t="s">
        <v>99</v>
      </c>
      <c r="H903" t="s">
        <v>50</v>
      </c>
      <c r="I903" t="s">
        <v>102</v>
      </c>
      <c r="J903" t="s">
        <v>223</v>
      </c>
      <c r="K903" t="str">
        <f>"ma21050581137"</f>
        <v>0</v>
      </c>
      <c r="L903">
        <v>77650</v>
      </c>
      <c r="M903"/>
      <c r="N903" t="s">
        <v>38</v>
      </c>
      <c r="O903" t="s">
        <v>38</v>
      </c>
      <c r="P903" t="s">
        <v>53</v>
      </c>
      <c r="Q903" t="s">
        <v>38</v>
      </c>
      <c r="R903" t="s">
        <v>38</v>
      </c>
      <c r="S903" t="s">
        <v>42</v>
      </c>
      <c r="T903" t="s">
        <v>42</v>
      </c>
      <c r="U903" t="s">
        <v>1032</v>
      </c>
      <c r="V903" t="s">
        <v>636</v>
      </c>
      <c r="W903" t="s">
        <v>1032</v>
      </c>
      <c r="X903" t="s">
        <v>824</v>
      </c>
      <c r="Y903" t="s">
        <v>1053</v>
      </c>
      <c r="Z903" t="s">
        <v>47</v>
      </c>
      <c r="AA903"/>
      <c r="AB903"/>
      <c r="AC903"/>
      <c r="AD903" t="s">
        <v>638</v>
      </c>
    </row>
    <row r="904" spans="1:30">
      <c r="A904">
        <v>3110110033</v>
      </c>
      <c r="B904" t="s">
        <v>30</v>
      </c>
      <c r="C904" t="s">
        <v>61</v>
      </c>
      <c r="D904" t="s">
        <v>62</v>
      </c>
      <c r="E904" t="s">
        <v>55</v>
      </c>
      <c r="F904" t="s">
        <v>64</v>
      </c>
      <c r="G904" t="s">
        <v>99</v>
      </c>
      <c r="H904" t="s">
        <v>50</v>
      </c>
      <c r="I904" t="s">
        <v>417</v>
      </c>
      <c r="J904" t="s">
        <v>297</v>
      </c>
      <c r="K904" t="str">
        <f>"210500450"</f>
        <v>0</v>
      </c>
      <c r="L904">
        <v>38047</v>
      </c>
      <c r="M904"/>
      <c r="N904" t="s">
        <v>38</v>
      </c>
      <c r="O904" t="s">
        <v>38</v>
      </c>
      <c r="P904" t="s">
        <v>53</v>
      </c>
      <c r="Q904" t="s">
        <v>38</v>
      </c>
      <c r="R904" t="s">
        <v>38</v>
      </c>
      <c r="S904" t="s">
        <v>42</v>
      </c>
      <c r="T904" t="s">
        <v>42</v>
      </c>
      <c r="U904" t="s">
        <v>1032</v>
      </c>
      <c r="V904" t="s">
        <v>636</v>
      </c>
      <c r="W904" t="s">
        <v>1032</v>
      </c>
      <c r="X904" t="s">
        <v>824</v>
      </c>
      <c r="Y904" t="s">
        <v>1053</v>
      </c>
      <c r="Z904" t="s">
        <v>47</v>
      </c>
      <c r="AA904"/>
      <c r="AB904"/>
      <c r="AC904"/>
      <c r="AD904" t="s">
        <v>638</v>
      </c>
    </row>
    <row r="905" spans="1:30">
      <c r="A905">
        <v>3110110035</v>
      </c>
      <c r="B905" t="s">
        <v>30</v>
      </c>
      <c r="C905" t="s">
        <v>61</v>
      </c>
      <c r="D905" t="s">
        <v>62</v>
      </c>
      <c r="E905" t="s">
        <v>55</v>
      </c>
      <c r="F905" t="s">
        <v>64</v>
      </c>
      <c r="G905" t="s">
        <v>476</v>
      </c>
      <c r="H905" t="s">
        <v>50</v>
      </c>
      <c r="I905" t="s">
        <v>1061</v>
      </c>
      <c r="J905" t="s">
        <v>59</v>
      </c>
      <c r="K905" t="str">
        <f>"na"</f>
        <v>0</v>
      </c>
      <c r="L905">
        <v>30000</v>
      </c>
      <c r="M905"/>
      <c r="N905" t="s">
        <v>38</v>
      </c>
      <c r="O905" t="s">
        <v>38</v>
      </c>
      <c r="P905" t="s">
        <v>53</v>
      </c>
      <c r="Q905" t="s">
        <v>38</v>
      </c>
      <c r="R905" t="s">
        <v>38</v>
      </c>
      <c r="S905" t="s">
        <v>42</v>
      </c>
      <c r="T905" t="s">
        <v>42</v>
      </c>
      <c r="U905" t="s">
        <v>1032</v>
      </c>
      <c r="V905" t="s">
        <v>636</v>
      </c>
      <c r="W905" t="s">
        <v>1032</v>
      </c>
      <c r="X905" t="s">
        <v>824</v>
      </c>
      <c r="Y905" t="s">
        <v>1053</v>
      </c>
      <c r="Z905" t="s">
        <v>47</v>
      </c>
      <c r="AA905"/>
      <c r="AB905"/>
      <c r="AC905"/>
      <c r="AD905" t="s">
        <v>638</v>
      </c>
    </row>
    <row r="906" spans="1:30">
      <c r="A906">
        <v>3110110037</v>
      </c>
      <c r="B906" t="s">
        <v>30</v>
      </c>
      <c r="C906" t="s">
        <v>61</v>
      </c>
      <c r="D906" t="s">
        <v>62</v>
      </c>
      <c r="E906" t="s">
        <v>55</v>
      </c>
      <c r="F906" t="s">
        <v>143</v>
      </c>
      <c r="G906" t="s">
        <v>144</v>
      </c>
      <c r="H906" t="s">
        <v>50</v>
      </c>
      <c r="I906" t="s">
        <v>100</v>
      </c>
      <c r="J906" t="s">
        <v>315</v>
      </c>
      <c r="K906" t="str">
        <f>"NA"</f>
        <v>0</v>
      </c>
      <c r="L906">
        <v>34335</v>
      </c>
      <c r="M906"/>
      <c r="N906" t="s">
        <v>38</v>
      </c>
      <c r="O906" t="s">
        <v>38</v>
      </c>
      <c r="P906" t="s">
        <v>53</v>
      </c>
      <c r="Q906" t="s">
        <v>38</v>
      </c>
      <c r="R906" t="s">
        <v>38</v>
      </c>
      <c r="S906" t="s">
        <v>42</v>
      </c>
      <c r="T906" t="s">
        <v>42</v>
      </c>
      <c r="U906" t="s">
        <v>1032</v>
      </c>
      <c r="V906" t="s">
        <v>636</v>
      </c>
      <c r="W906" t="s">
        <v>1032</v>
      </c>
      <c r="X906" t="s">
        <v>824</v>
      </c>
      <c r="Y906" t="s">
        <v>1053</v>
      </c>
      <c r="Z906" t="s">
        <v>47</v>
      </c>
      <c r="AA906"/>
      <c r="AB906"/>
      <c r="AC906"/>
      <c r="AD906" t="s">
        <v>638</v>
      </c>
    </row>
    <row r="907" spans="1:30">
      <c r="A907">
        <v>3110110039</v>
      </c>
      <c r="B907" t="s">
        <v>30</v>
      </c>
      <c r="C907" t="s">
        <v>61</v>
      </c>
      <c r="D907" t="s">
        <v>62</v>
      </c>
      <c r="E907" t="s">
        <v>151</v>
      </c>
      <c r="F907" t="s">
        <v>48</v>
      </c>
      <c r="G907" t="s">
        <v>570</v>
      </c>
      <c r="H907" t="s">
        <v>50</v>
      </c>
      <c r="I907" t="s">
        <v>912</v>
      </c>
      <c r="J907" t="s">
        <v>993</v>
      </c>
      <c r="K907" t="str">
        <f>"DR1308139"</f>
        <v>0</v>
      </c>
      <c r="L907">
        <v>25000</v>
      </c>
      <c r="M907"/>
      <c r="N907" t="s">
        <v>38</v>
      </c>
      <c r="O907" t="s">
        <v>38</v>
      </c>
      <c r="P907" t="s">
        <v>53</v>
      </c>
      <c r="Q907" t="s">
        <v>38</v>
      </c>
      <c r="R907" t="s">
        <v>38</v>
      </c>
      <c r="S907" t="s">
        <v>42</v>
      </c>
      <c r="T907" t="s">
        <v>42</v>
      </c>
      <c r="U907" t="s">
        <v>1032</v>
      </c>
      <c r="V907" t="s">
        <v>636</v>
      </c>
      <c r="W907" t="s">
        <v>1032</v>
      </c>
      <c r="X907" t="s">
        <v>824</v>
      </c>
      <c r="Y907" t="s">
        <v>1053</v>
      </c>
      <c r="Z907" t="s">
        <v>47</v>
      </c>
      <c r="AA907"/>
      <c r="AB907"/>
      <c r="AC907"/>
      <c r="AD907" t="s">
        <v>638</v>
      </c>
    </row>
    <row r="908" spans="1:30">
      <c r="A908">
        <v>3110110040</v>
      </c>
      <c r="B908" t="s">
        <v>30</v>
      </c>
      <c r="C908" t="s">
        <v>61</v>
      </c>
      <c r="D908" t="s">
        <v>62</v>
      </c>
      <c r="E908" t="s">
        <v>151</v>
      </c>
      <c r="F908" t="s">
        <v>152</v>
      </c>
      <c r="G908" t="s">
        <v>763</v>
      </c>
      <c r="H908" t="s">
        <v>50</v>
      </c>
      <c r="I908" t="s">
        <v>764</v>
      </c>
      <c r="J908" t="s">
        <v>910</v>
      </c>
      <c r="K908" t="str">
        <f>"na"</f>
        <v>0</v>
      </c>
      <c r="L908">
        <v>323500</v>
      </c>
      <c r="M908"/>
      <c r="N908" t="s">
        <v>38</v>
      </c>
      <c r="O908" t="s">
        <v>38</v>
      </c>
      <c r="P908" t="s">
        <v>53</v>
      </c>
      <c r="Q908" t="s">
        <v>38</v>
      </c>
      <c r="R908" t="s">
        <v>38</v>
      </c>
      <c r="S908" t="s">
        <v>42</v>
      </c>
      <c r="T908" t="s">
        <v>42</v>
      </c>
      <c r="U908" t="s">
        <v>1032</v>
      </c>
      <c r="V908" t="s">
        <v>636</v>
      </c>
      <c r="W908" t="s">
        <v>1032</v>
      </c>
      <c r="X908" t="s">
        <v>824</v>
      </c>
      <c r="Y908" t="s">
        <v>1053</v>
      </c>
      <c r="Z908" t="s">
        <v>47</v>
      </c>
      <c r="AA908"/>
      <c r="AB908"/>
      <c r="AC908"/>
      <c r="AD908" t="s">
        <v>638</v>
      </c>
    </row>
    <row r="909" spans="1:30">
      <c r="A909">
        <v>3110110041</v>
      </c>
      <c r="B909" t="s">
        <v>30</v>
      </c>
      <c r="C909" t="s">
        <v>61</v>
      </c>
      <c r="D909" t="s">
        <v>62</v>
      </c>
      <c r="E909" t="s">
        <v>151</v>
      </c>
      <c r="F909" t="s">
        <v>152</v>
      </c>
      <c r="G909" t="s">
        <v>723</v>
      </c>
      <c r="H909" t="s">
        <v>50</v>
      </c>
      <c r="I909" t="s">
        <v>912</v>
      </c>
      <c r="J909" t="s">
        <v>1062</v>
      </c>
      <c r="K909" t="str">
        <f>"M1309099"</f>
        <v>0</v>
      </c>
      <c r="L909">
        <v>94500</v>
      </c>
      <c r="M909"/>
      <c r="N909" t="s">
        <v>38</v>
      </c>
      <c r="O909" t="s">
        <v>38</v>
      </c>
      <c r="P909" t="s">
        <v>53</v>
      </c>
      <c r="Q909" t="s">
        <v>38</v>
      </c>
      <c r="R909" t="s">
        <v>38</v>
      </c>
      <c r="S909" t="s">
        <v>42</v>
      </c>
      <c r="T909" t="s">
        <v>42</v>
      </c>
      <c r="U909" t="s">
        <v>1032</v>
      </c>
      <c r="V909" t="s">
        <v>636</v>
      </c>
      <c r="W909" t="s">
        <v>1032</v>
      </c>
      <c r="X909" t="s">
        <v>824</v>
      </c>
      <c r="Y909" t="s">
        <v>1053</v>
      </c>
      <c r="Z909" t="s">
        <v>47</v>
      </c>
      <c r="AA909"/>
      <c r="AB909"/>
      <c r="AC909"/>
      <c r="AD909" t="s">
        <v>638</v>
      </c>
    </row>
    <row r="910" spans="1:30">
      <c r="A910">
        <v>3110110044</v>
      </c>
      <c r="B910" t="s">
        <v>30</v>
      </c>
      <c r="C910" t="s">
        <v>61</v>
      </c>
      <c r="D910" t="s">
        <v>62</v>
      </c>
      <c r="E910" t="s">
        <v>1063</v>
      </c>
      <c r="F910" t="s">
        <v>143</v>
      </c>
      <c r="G910" t="s">
        <v>381</v>
      </c>
      <c r="H910" t="s">
        <v>50</v>
      </c>
      <c r="I910" t="s">
        <v>382</v>
      </c>
      <c r="J910" t="s">
        <v>315</v>
      </c>
      <c r="K910" t="str">
        <f>"na"</f>
        <v>0</v>
      </c>
      <c r="L910">
        <v>459375</v>
      </c>
      <c r="M910"/>
      <c r="N910" t="s">
        <v>38</v>
      </c>
      <c r="O910" t="s">
        <v>38</v>
      </c>
      <c r="P910" t="s">
        <v>53</v>
      </c>
      <c r="Q910" t="s">
        <v>38</v>
      </c>
      <c r="R910" t="s">
        <v>38</v>
      </c>
      <c r="S910" t="s">
        <v>42</v>
      </c>
      <c r="T910" t="s">
        <v>42</v>
      </c>
      <c r="U910" t="s">
        <v>1032</v>
      </c>
      <c r="V910" t="s">
        <v>636</v>
      </c>
      <c r="W910" t="s">
        <v>1032</v>
      </c>
      <c r="X910" t="s">
        <v>824</v>
      </c>
      <c r="Y910" t="s">
        <v>1053</v>
      </c>
      <c r="Z910" t="s">
        <v>47</v>
      </c>
      <c r="AA910"/>
      <c r="AB910"/>
      <c r="AC910"/>
      <c r="AD910" t="s">
        <v>638</v>
      </c>
    </row>
    <row r="911" spans="1:30">
      <c r="A911">
        <v>3110110045</v>
      </c>
      <c r="B911" t="s">
        <v>30</v>
      </c>
      <c r="C911" t="s">
        <v>61</v>
      </c>
      <c r="D911" t="s">
        <v>62</v>
      </c>
      <c r="E911" t="s">
        <v>1063</v>
      </c>
      <c r="F911" t="s">
        <v>143</v>
      </c>
      <c r="G911" t="s">
        <v>144</v>
      </c>
      <c r="H911" t="s">
        <v>50</v>
      </c>
      <c r="I911" t="s">
        <v>100</v>
      </c>
      <c r="J911" t="s">
        <v>315</v>
      </c>
      <c r="K911" t="str">
        <f>"na"</f>
        <v>0</v>
      </c>
      <c r="L911">
        <v>34335</v>
      </c>
      <c r="M911"/>
      <c r="N911" t="s">
        <v>38</v>
      </c>
      <c r="O911" t="s">
        <v>38</v>
      </c>
      <c r="P911" t="s">
        <v>53</v>
      </c>
      <c r="Q911" t="s">
        <v>38</v>
      </c>
      <c r="R911" t="s">
        <v>38</v>
      </c>
      <c r="S911" t="s">
        <v>42</v>
      </c>
      <c r="T911" t="s">
        <v>42</v>
      </c>
      <c r="U911" t="s">
        <v>1032</v>
      </c>
      <c r="V911" t="s">
        <v>636</v>
      </c>
      <c r="W911" t="s">
        <v>1032</v>
      </c>
      <c r="X911" t="s">
        <v>824</v>
      </c>
      <c r="Y911" t="s">
        <v>1053</v>
      </c>
      <c r="Z911" t="s">
        <v>47</v>
      </c>
      <c r="AA911"/>
      <c r="AB911"/>
      <c r="AC911"/>
      <c r="AD911" t="s">
        <v>638</v>
      </c>
    </row>
    <row r="912" spans="1:30">
      <c r="A912">
        <v>3110110046</v>
      </c>
      <c r="B912" t="s">
        <v>30</v>
      </c>
      <c r="C912" t="s">
        <v>61</v>
      </c>
      <c r="D912" t="s">
        <v>62</v>
      </c>
      <c r="E912" t="s">
        <v>1063</v>
      </c>
      <c r="F912" t="s">
        <v>143</v>
      </c>
      <c r="G912" t="s">
        <v>144</v>
      </c>
      <c r="H912" t="s">
        <v>50</v>
      </c>
      <c r="I912" t="s">
        <v>100</v>
      </c>
      <c r="J912" t="s">
        <v>315</v>
      </c>
      <c r="K912" t="str">
        <f>"na"</f>
        <v>0</v>
      </c>
      <c r="L912">
        <v>34335</v>
      </c>
      <c r="M912"/>
      <c r="N912" t="s">
        <v>38</v>
      </c>
      <c r="O912" t="s">
        <v>38</v>
      </c>
      <c r="P912" t="s">
        <v>53</v>
      </c>
      <c r="Q912" t="s">
        <v>38</v>
      </c>
      <c r="R912" t="s">
        <v>38</v>
      </c>
      <c r="S912" t="s">
        <v>42</v>
      </c>
      <c r="T912" t="s">
        <v>42</v>
      </c>
      <c r="U912" t="s">
        <v>1032</v>
      </c>
      <c r="V912" t="s">
        <v>636</v>
      </c>
      <c r="W912" t="s">
        <v>1032</v>
      </c>
      <c r="X912" t="s">
        <v>824</v>
      </c>
      <c r="Y912" t="s">
        <v>1053</v>
      </c>
      <c r="Z912" t="s">
        <v>47</v>
      </c>
      <c r="AA912"/>
      <c r="AB912"/>
      <c r="AC912"/>
      <c r="AD912" t="s">
        <v>638</v>
      </c>
    </row>
    <row r="913" spans="1:30">
      <c r="A913">
        <v>3110110048</v>
      </c>
      <c r="B913" t="s">
        <v>30</v>
      </c>
      <c r="C913" t="s">
        <v>61</v>
      </c>
      <c r="D913" t="s">
        <v>62</v>
      </c>
      <c r="E913" t="s">
        <v>1063</v>
      </c>
      <c r="F913" t="s">
        <v>64</v>
      </c>
      <c r="G913" t="s">
        <v>99</v>
      </c>
      <c r="H913" t="s">
        <v>50</v>
      </c>
      <c r="I913" t="s">
        <v>408</v>
      </c>
      <c r="J913" t="s">
        <v>412</v>
      </c>
      <c r="K913" t="str">
        <f>"MZJ5D122615"</f>
        <v>0</v>
      </c>
      <c r="L913">
        <v>30300</v>
      </c>
      <c r="M913"/>
      <c r="N913" t="s">
        <v>38</v>
      </c>
      <c r="O913" t="s">
        <v>38</v>
      </c>
      <c r="P913" t="s">
        <v>53</v>
      </c>
      <c r="Q913" t="s">
        <v>38</v>
      </c>
      <c r="R913" t="s">
        <v>38</v>
      </c>
      <c r="S913" t="s">
        <v>42</v>
      </c>
      <c r="T913" t="s">
        <v>42</v>
      </c>
      <c r="U913" t="s">
        <v>1032</v>
      </c>
      <c r="V913" t="s">
        <v>636</v>
      </c>
      <c r="W913" t="s">
        <v>1032</v>
      </c>
      <c r="X913" t="s">
        <v>824</v>
      </c>
      <c r="Y913" t="s">
        <v>1053</v>
      </c>
      <c r="Z913" t="s">
        <v>47</v>
      </c>
      <c r="AA913"/>
      <c r="AB913"/>
      <c r="AC913"/>
      <c r="AD913" t="s">
        <v>638</v>
      </c>
    </row>
    <row r="914" spans="1:30">
      <c r="A914">
        <v>3110110049</v>
      </c>
      <c r="B914" t="s">
        <v>30</v>
      </c>
      <c r="C914" t="s">
        <v>61</v>
      </c>
      <c r="D914" t="s">
        <v>62</v>
      </c>
      <c r="E914" t="s">
        <v>446</v>
      </c>
      <c r="F914" t="s">
        <v>64</v>
      </c>
      <c r="G914" t="s">
        <v>99</v>
      </c>
      <c r="H914" t="s">
        <v>50</v>
      </c>
      <c r="I914" t="s">
        <v>408</v>
      </c>
      <c r="J914" t="s">
        <v>412</v>
      </c>
      <c r="K914" t="str">
        <f>"MZJ5D122602"</f>
        <v>0</v>
      </c>
      <c r="L914">
        <v>30300</v>
      </c>
      <c r="M914"/>
      <c r="N914" t="s">
        <v>38</v>
      </c>
      <c r="O914" t="s">
        <v>38</v>
      </c>
      <c r="P914" t="s">
        <v>53</v>
      </c>
      <c r="Q914" t="s">
        <v>38</v>
      </c>
      <c r="R914" t="s">
        <v>38</v>
      </c>
      <c r="S914" t="s">
        <v>42</v>
      </c>
      <c r="T914" t="s">
        <v>42</v>
      </c>
      <c r="U914" t="s">
        <v>1032</v>
      </c>
      <c r="V914" t="s">
        <v>636</v>
      </c>
      <c r="W914" t="s">
        <v>1032</v>
      </c>
      <c r="X914" t="s">
        <v>824</v>
      </c>
      <c r="Y914" t="s">
        <v>1053</v>
      </c>
      <c r="Z914" t="s">
        <v>47</v>
      </c>
      <c r="AA914"/>
      <c r="AB914"/>
      <c r="AC914"/>
      <c r="AD914" t="s">
        <v>638</v>
      </c>
    </row>
    <row r="915" spans="1:30">
      <c r="A915">
        <v>3110110056</v>
      </c>
      <c r="B915" t="s">
        <v>30</v>
      </c>
      <c r="C915" t="s">
        <v>61</v>
      </c>
      <c r="D915" t="s">
        <v>62</v>
      </c>
      <c r="E915" t="s">
        <v>446</v>
      </c>
      <c r="F915" t="s">
        <v>147</v>
      </c>
      <c r="G915" t="s">
        <v>360</v>
      </c>
      <c r="H915" t="s">
        <v>35</v>
      </c>
      <c r="I915" t="s">
        <v>420</v>
      </c>
      <c r="J915" t="s">
        <v>700</v>
      </c>
      <c r="K915" t="str">
        <f>"48428337"</f>
        <v>0</v>
      </c>
      <c r="L915">
        <v>719000</v>
      </c>
      <c r="M915"/>
      <c r="N915" t="s">
        <v>38</v>
      </c>
      <c r="O915" t="s">
        <v>38</v>
      </c>
      <c r="P915" t="s">
        <v>53</v>
      </c>
      <c r="Q915" t="s">
        <v>38</v>
      </c>
      <c r="R915" t="s">
        <v>38</v>
      </c>
      <c r="S915" t="s">
        <v>42</v>
      </c>
      <c r="T915" t="s">
        <v>42</v>
      </c>
      <c r="U915" t="s">
        <v>1032</v>
      </c>
      <c r="V915" t="s">
        <v>636</v>
      </c>
      <c r="W915" t="s">
        <v>1032</v>
      </c>
      <c r="X915" t="s">
        <v>824</v>
      </c>
      <c r="Y915" t="s">
        <v>1053</v>
      </c>
      <c r="Z915" t="s">
        <v>47</v>
      </c>
      <c r="AA915"/>
      <c r="AB915"/>
      <c r="AC915"/>
      <c r="AD915" t="s">
        <v>638</v>
      </c>
    </row>
    <row r="916" spans="1:30">
      <c r="A916">
        <v>3110110057</v>
      </c>
      <c r="B916" t="s">
        <v>30</v>
      </c>
      <c r="C916" t="s">
        <v>61</v>
      </c>
      <c r="D916" t="s">
        <v>62</v>
      </c>
      <c r="E916" t="s">
        <v>446</v>
      </c>
      <c r="F916" t="s">
        <v>147</v>
      </c>
      <c r="G916" t="s">
        <v>360</v>
      </c>
      <c r="H916" t="s">
        <v>35</v>
      </c>
      <c r="I916" t="s">
        <v>420</v>
      </c>
      <c r="J916" t="s">
        <v>700</v>
      </c>
      <c r="K916" t="str">
        <f>"48423109"</f>
        <v>0</v>
      </c>
      <c r="L916">
        <v>719000</v>
      </c>
      <c r="M916"/>
      <c r="N916" t="s">
        <v>38</v>
      </c>
      <c r="O916" t="s">
        <v>38</v>
      </c>
      <c r="P916" t="s">
        <v>53</v>
      </c>
      <c r="Q916" t="s">
        <v>38</v>
      </c>
      <c r="R916" t="s">
        <v>38</v>
      </c>
      <c r="S916" t="s">
        <v>42</v>
      </c>
      <c r="T916" t="s">
        <v>42</v>
      </c>
      <c r="U916" t="s">
        <v>1032</v>
      </c>
      <c r="V916" t="s">
        <v>636</v>
      </c>
      <c r="W916" t="s">
        <v>1032</v>
      </c>
      <c r="X916" t="s">
        <v>824</v>
      </c>
      <c r="Y916" t="s">
        <v>1053</v>
      </c>
      <c r="Z916" t="s">
        <v>47</v>
      </c>
      <c r="AA916"/>
      <c r="AB916"/>
      <c r="AC916"/>
      <c r="AD916" t="s">
        <v>638</v>
      </c>
    </row>
    <row r="917" spans="1:30">
      <c r="A917">
        <v>3110110058</v>
      </c>
      <c r="B917" t="s">
        <v>30</v>
      </c>
      <c r="C917" t="s">
        <v>61</v>
      </c>
      <c r="D917" t="s">
        <v>62</v>
      </c>
      <c r="E917" t="s">
        <v>446</v>
      </c>
      <c r="F917" t="s">
        <v>147</v>
      </c>
      <c r="G917" t="s">
        <v>360</v>
      </c>
      <c r="H917" t="s">
        <v>35</v>
      </c>
      <c r="I917" t="s">
        <v>420</v>
      </c>
      <c r="J917" t="s">
        <v>700</v>
      </c>
      <c r="K917" t="str">
        <f>"48354510"</f>
        <v>0</v>
      </c>
      <c r="L917">
        <v>719000</v>
      </c>
      <c r="M917"/>
      <c r="N917" t="s">
        <v>38</v>
      </c>
      <c r="O917" t="s">
        <v>38</v>
      </c>
      <c r="P917" t="s">
        <v>53</v>
      </c>
      <c r="Q917" t="s">
        <v>38</v>
      </c>
      <c r="R917" t="s">
        <v>38</v>
      </c>
      <c r="S917" t="s">
        <v>42</v>
      </c>
      <c r="T917" t="s">
        <v>42</v>
      </c>
      <c r="U917" t="s">
        <v>1032</v>
      </c>
      <c r="V917" t="s">
        <v>636</v>
      </c>
      <c r="W917" t="s">
        <v>1032</v>
      </c>
      <c r="X917" t="s">
        <v>824</v>
      </c>
      <c r="Y917" t="s">
        <v>1053</v>
      </c>
      <c r="Z917" t="s">
        <v>47</v>
      </c>
      <c r="AA917"/>
      <c r="AB917"/>
      <c r="AC917"/>
      <c r="AD917" t="s">
        <v>638</v>
      </c>
    </row>
    <row r="918" spans="1:30">
      <c r="A918">
        <v>3110110059</v>
      </c>
      <c r="B918" t="s">
        <v>30</v>
      </c>
      <c r="C918" t="s">
        <v>61</v>
      </c>
      <c r="D918" t="s">
        <v>62</v>
      </c>
      <c r="E918" t="s">
        <v>446</v>
      </c>
      <c r="F918" t="s">
        <v>147</v>
      </c>
      <c r="G918" t="s">
        <v>360</v>
      </c>
      <c r="H918" t="s">
        <v>35</v>
      </c>
      <c r="I918" t="s">
        <v>420</v>
      </c>
      <c r="J918" t="s">
        <v>700</v>
      </c>
      <c r="K918" t="str">
        <f>"48420774"</f>
        <v>0</v>
      </c>
      <c r="L918">
        <v>719000</v>
      </c>
      <c r="M918"/>
      <c r="N918" t="s">
        <v>38</v>
      </c>
      <c r="O918" t="s">
        <v>38</v>
      </c>
      <c r="P918" t="s">
        <v>53</v>
      </c>
      <c r="Q918" t="s">
        <v>38</v>
      </c>
      <c r="R918" t="s">
        <v>38</v>
      </c>
      <c r="S918" t="s">
        <v>42</v>
      </c>
      <c r="T918" t="s">
        <v>42</v>
      </c>
      <c r="U918" t="s">
        <v>1032</v>
      </c>
      <c r="V918" t="s">
        <v>636</v>
      </c>
      <c r="W918" t="s">
        <v>1032</v>
      </c>
      <c r="X918" t="s">
        <v>824</v>
      </c>
      <c r="Y918" t="s">
        <v>1053</v>
      </c>
      <c r="Z918" t="s">
        <v>47</v>
      </c>
      <c r="AA918"/>
      <c r="AB918"/>
      <c r="AC918"/>
      <c r="AD918" t="s">
        <v>638</v>
      </c>
    </row>
    <row r="919" spans="1:30">
      <c r="A919">
        <v>3110110060</v>
      </c>
      <c r="B919" t="s">
        <v>30</v>
      </c>
      <c r="C919" t="s">
        <v>61</v>
      </c>
      <c r="D919" t="s">
        <v>62</v>
      </c>
      <c r="E919" t="s">
        <v>446</v>
      </c>
      <c r="F919" t="s">
        <v>147</v>
      </c>
      <c r="G919" t="s">
        <v>360</v>
      </c>
      <c r="H919" t="s">
        <v>35</v>
      </c>
      <c r="I919" t="s">
        <v>420</v>
      </c>
      <c r="J919" t="s">
        <v>700</v>
      </c>
      <c r="K919" t="str">
        <f>"48422167"</f>
        <v>0</v>
      </c>
      <c r="L919">
        <v>719000</v>
      </c>
      <c r="M919"/>
      <c r="N919" t="s">
        <v>38</v>
      </c>
      <c r="O919" t="s">
        <v>38</v>
      </c>
      <c r="P919" t="s">
        <v>53</v>
      </c>
      <c r="Q919" t="s">
        <v>38</v>
      </c>
      <c r="R919" t="s">
        <v>38</v>
      </c>
      <c r="S919" t="s">
        <v>42</v>
      </c>
      <c r="T919" t="s">
        <v>42</v>
      </c>
      <c r="U919" t="s">
        <v>1032</v>
      </c>
      <c r="V919" t="s">
        <v>636</v>
      </c>
      <c r="W919" t="s">
        <v>1032</v>
      </c>
      <c r="X919" t="s">
        <v>824</v>
      </c>
      <c r="Y919" t="s">
        <v>1053</v>
      </c>
      <c r="Z919" t="s">
        <v>47</v>
      </c>
      <c r="AA919"/>
      <c r="AB919"/>
      <c r="AC919"/>
      <c r="AD919" t="s">
        <v>638</v>
      </c>
    </row>
    <row r="920" spans="1:30">
      <c r="A920">
        <v>3110110061</v>
      </c>
      <c r="B920" t="s">
        <v>30</v>
      </c>
      <c r="C920" t="s">
        <v>61</v>
      </c>
      <c r="D920" t="s">
        <v>62</v>
      </c>
      <c r="E920" t="s">
        <v>446</v>
      </c>
      <c r="F920" t="s">
        <v>147</v>
      </c>
      <c r="G920" t="s">
        <v>360</v>
      </c>
      <c r="H920" t="s">
        <v>35</v>
      </c>
      <c r="I920" t="s">
        <v>420</v>
      </c>
      <c r="J920" t="s">
        <v>700</v>
      </c>
      <c r="K920" t="str">
        <f>"48250129"</f>
        <v>0</v>
      </c>
      <c r="L920">
        <v>719000</v>
      </c>
      <c r="M920"/>
      <c r="N920" t="s">
        <v>38</v>
      </c>
      <c r="O920" t="s">
        <v>38</v>
      </c>
      <c r="P920" t="s">
        <v>53</v>
      </c>
      <c r="Q920" t="s">
        <v>38</v>
      </c>
      <c r="R920" t="s">
        <v>38</v>
      </c>
      <c r="S920" t="s">
        <v>42</v>
      </c>
      <c r="T920" t="s">
        <v>42</v>
      </c>
      <c r="U920" t="s">
        <v>1032</v>
      </c>
      <c r="V920" t="s">
        <v>636</v>
      </c>
      <c r="W920" t="s">
        <v>1032</v>
      </c>
      <c r="X920" t="s">
        <v>824</v>
      </c>
      <c r="Y920" t="s">
        <v>1053</v>
      </c>
      <c r="Z920" t="s">
        <v>47</v>
      </c>
      <c r="AA920"/>
      <c r="AB920"/>
      <c r="AC920"/>
      <c r="AD920" t="s">
        <v>638</v>
      </c>
    </row>
    <row r="921" spans="1:30">
      <c r="A921">
        <v>3110110062</v>
      </c>
      <c r="B921" t="s">
        <v>30</v>
      </c>
      <c r="C921" t="s">
        <v>61</v>
      </c>
      <c r="D921" t="s">
        <v>62</v>
      </c>
      <c r="E921" t="s">
        <v>446</v>
      </c>
      <c r="F921" t="s">
        <v>387</v>
      </c>
      <c r="G921" t="s">
        <v>387</v>
      </c>
      <c r="H921" t="s">
        <v>35</v>
      </c>
      <c r="I921" t="s">
        <v>549</v>
      </c>
      <c r="J921" t="s">
        <v>879</v>
      </c>
      <c r="K921" t="str">
        <f>"19713"</f>
        <v>0</v>
      </c>
      <c r="L921">
        <v>1430000</v>
      </c>
      <c r="M921"/>
      <c r="N921" t="s">
        <v>38</v>
      </c>
      <c r="O921" t="s">
        <v>38</v>
      </c>
      <c r="P921" t="s">
        <v>53</v>
      </c>
      <c r="Q921" t="s">
        <v>38</v>
      </c>
      <c r="R921" t="s">
        <v>38</v>
      </c>
      <c r="S921" t="s">
        <v>42</v>
      </c>
      <c r="T921" t="s">
        <v>42</v>
      </c>
      <c r="U921" t="s">
        <v>1032</v>
      </c>
      <c r="V921" t="s">
        <v>636</v>
      </c>
      <c r="W921" t="s">
        <v>1032</v>
      </c>
      <c r="X921" t="s">
        <v>824</v>
      </c>
      <c r="Y921" t="s">
        <v>1053</v>
      </c>
      <c r="Z921" t="s">
        <v>47</v>
      </c>
      <c r="AA921"/>
      <c r="AB921"/>
      <c r="AC921"/>
      <c r="AD921" t="s">
        <v>638</v>
      </c>
    </row>
    <row r="922" spans="1:30">
      <c r="A922">
        <v>3110110063</v>
      </c>
      <c r="B922" t="s">
        <v>30</v>
      </c>
      <c r="C922" t="s">
        <v>61</v>
      </c>
      <c r="D922" t="s">
        <v>62</v>
      </c>
      <c r="E922" t="s">
        <v>446</v>
      </c>
      <c r="F922" t="s">
        <v>387</v>
      </c>
      <c r="G922" t="s">
        <v>387</v>
      </c>
      <c r="H922" t="s">
        <v>35</v>
      </c>
      <c r="I922" t="s">
        <v>549</v>
      </c>
      <c r="J922" t="s">
        <v>879</v>
      </c>
      <c r="K922" t="str">
        <f>"19680"</f>
        <v>0</v>
      </c>
      <c r="L922">
        <v>1430000</v>
      </c>
      <c r="M922"/>
      <c r="N922" t="s">
        <v>38</v>
      </c>
      <c r="O922" t="s">
        <v>38</v>
      </c>
      <c r="P922" t="s">
        <v>53</v>
      </c>
      <c r="Q922" t="s">
        <v>38</v>
      </c>
      <c r="R922" t="s">
        <v>38</v>
      </c>
      <c r="S922" t="s">
        <v>42</v>
      </c>
      <c r="T922" t="s">
        <v>42</v>
      </c>
      <c r="U922" t="s">
        <v>1032</v>
      </c>
      <c r="V922" t="s">
        <v>636</v>
      </c>
      <c r="W922" t="s">
        <v>1032</v>
      </c>
      <c r="X922" t="s">
        <v>824</v>
      </c>
      <c r="Y922" t="s">
        <v>1053</v>
      </c>
      <c r="Z922" t="s">
        <v>47</v>
      </c>
      <c r="AA922"/>
      <c r="AB922"/>
      <c r="AC922"/>
      <c r="AD922" t="s">
        <v>638</v>
      </c>
    </row>
    <row r="923" spans="1:30">
      <c r="A923">
        <v>3110110064</v>
      </c>
      <c r="B923" t="s">
        <v>30</v>
      </c>
      <c r="C923" t="s">
        <v>61</v>
      </c>
      <c r="D923" t="s">
        <v>62</v>
      </c>
      <c r="E923" t="s">
        <v>72</v>
      </c>
      <c r="F923" t="s">
        <v>166</v>
      </c>
      <c r="G923" t="s">
        <v>167</v>
      </c>
      <c r="H923" t="s">
        <v>35</v>
      </c>
      <c r="I923" t="s">
        <v>168</v>
      </c>
      <c r="J923" t="s">
        <v>900</v>
      </c>
      <c r="K923" t="str">
        <f>"L19170925065"</f>
        <v>0</v>
      </c>
      <c r="L923">
        <v>65000</v>
      </c>
      <c r="M923"/>
      <c r="N923" t="s">
        <v>38</v>
      </c>
      <c r="O923" t="s">
        <v>38</v>
      </c>
      <c r="P923" t="s">
        <v>53</v>
      </c>
      <c r="Q923" t="s">
        <v>38</v>
      </c>
      <c r="R923" t="s">
        <v>38</v>
      </c>
      <c r="S923" t="s">
        <v>42</v>
      </c>
      <c r="T923" t="s">
        <v>42</v>
      </c>
      <c r="U923" t="s">
        <v>1032</v>
      </c>
      <c r="V923" t="s">
        <v>636</v>
      </c>
      <c r="W923" t="s">
        <v>1032</v>
      </c>
      <c r="X923" t="s">
        <v>824</v>
      </c>
      <c r="Y923" t="s">
        <v>1053</v>
      </c>
      <c r="Z923" t="s">
        <v>47</v>
      </c>
      <c r="AA923"/>
      <c r="AB923"/>
      <c r="AC923"/>
      <c r="AD923" t="s">
        <v>638</v>
      </c>
    </row>
    <row r="924" spans="1:30">
      <c r="A924">
        <v>3110110065</v>
      </c>
      <c r="B924" t="s">
        <v>30</v>
      </c>
      <c r="C924" t="s">
        <v>61</v>
      </c>
      <c r="D924" t="s">
        <v>62</v>
      </c>
      <c r="E924" t="s">
        <v>72</v>
      </c>
      <c r="F924" t="s">
        <v>64</v>
      </c>
      <c r="G924" t="s">
        <v>99</v>
      </c>
      <c r="H924" t="s">
        <v>50</v>
      </c>
      <c r="I924" t="s">
        <v>408</v>
      </c>
      <c r="J924" t="s">
        <v>412</v>
      </c>
      <c r="K924" t="str">
        <f>"MZJ5D122605"</f>
        <v>0</v>
      </c>
      <c r="L924">
        <v>30300</v>
      </c>
      <c r="M924"/>
      <c r="N924" t="s">
        <v>38</v>
      </c>
      <c r="O924" t="s">
        <v>38</v>
      </c>
      <c r="P924" t="s">
        <v>53</v>
      </c>
      <c r="Q924" t="s">
        <v>38</v>
      </c>
      <c r="R924" t="s">
        <v>38</v>
      </c>
      <c r="S924" t="s">
        <v>42</v>
      </c>
      <c r="T924" t="s">
        <v>42</v>
      </c>
      <c r="U924" t="s">
        <v>1032</v>
      </c>
      <c r="V924" t="s">
        <v>636</v>
      </c>
      <c r="W924" t="s">
        <v>1032</v>
      </c>
      <c r="X924" t="s">
        <v>824</v>
      </c>
      <c r="Y924" t="s">
        <v>1053</v>
      </c>
      <c r="Z924" t="s">
        <v>47</v>
      </c>
      <c r="AA924"/>
      <c r="AB924"/>
      <c r="AC924"/>
      <c r="AD924" t="s">
        <v>638</v>
      </c>
    </row>
    <row r="925" spans="1:30">
      <c r="A925">
        <v>3110110067</v>
      </c>
      <c r="B925" t="s">
        <v>30</v>
      </c>
      <c r="C925" t="s">
        <v>61</v>
      </c>
      <c r="D925" t="s">
        <v>62</v>
      </c>
      <c r="E925" t="s">
        <v>79</v>
      </c>
      <c r="F925" t="s">
        <v>143</v>
      </c>
      <c r="G925" t="s">
        <v>377</v>
      </c>
      <c r="H925" t="s">
        <v>50</v>
      </c>
      <c r="I925" t="s">
        <v>100</v>
      </c>
      <c r="J925" t="s">
        <v>59</v>
      </c>
      <c r="K925" t="str">
        <f>"na"</f>
        <v>0</v>
      </c>
      <c r="L925">
        <v>30000</v>
      </c>
      <c r="M925"/>
      <c r="N925" t="s">
        <v>38</v>
      </c>
      <c r="O925" t="s">
        <v>38</v>
      </c>
      <c r="P925" t="s">
        <v>53</v>
      </c>
      <c r="Q925" t="s">
        <v>38</v>
      </c>
      <c r="R925" t="s">
        <v>38</v>
      </c>
      <c r="S925" t="s">
        <v>42</v>
      </c>
      <c r="T925" t="s">
        <v>42</v>
      </c>
      <c r="U925" t="s">
        <v>1032</v>
      </c>
      <c r="V925" t="s">
        <v>636</v>
      </c>
      <c r="W925" t="s">
        <v>1032</v>
      </c>
      <c r="X925" t="s">
        <v>824</v>
      </c>
      <c r="Y925" t="s">
        <v>1053</v>
      </c>
      <c r="Z925" t="s">
        <v>47</v>
      </c>
      <c r="AA925"/>
      <c r="AB925"/>
      <c r="AC925"/>
      <c r="AD925" t="s">
        <v>638</v>
      </c>
    </row>
    <row r="926" spans="1:30">
      <c r="A926">
        <v>3110110068</v>
      </c>
      <c r="B926" t="s">
        <v>30</v>
      </c>
      <c r="C926" t="s">
        <v>61</v>
      </c>
      <c r="D926" t="s">
        <v>62</v>
      </c>
      <c r="E926" t="s">
        <v>79</v>
      </c>
      <c r="F926" t="s">
        <v>143</v>
      </c>
      <c r="G926" t="s">
        <v>377</v>
      </c>
      <c r="H926" t="s">
        <v>50</v>
      </c>
      <c r="I926" t="s">
        <v>100</v>
      </c>
      <c r="J926" t="s">
        <v>59</v>
      </c>
      <c r="K926" t="str">
        <f>"na"</f>
        <v>0</v>
      </c>
      <c r="L926">
        <v>30000</v>
      </c>
      <c r="M926"/>
      <c r="N926" t="s">
        <v>38</v>
      </c>
      <c r="O926" t="s">
        <v>38</v>
      </c>
      <c r="P926" t="s">
        <v>53</v>
      </c>
      <c r="Q926" t="s">
        <v>38</v>
      </c>
      <c r="R926" t="s">
        <v>38</v>
      </c>
      <c r="S926" t="s">
        <v>42</v>
      </c>
      <c r="T926" t="s">
        <v>42</v>
      </c>
      <c r="U926" t="s">
        <v>1032</v>
      </c>
      <c r="V926" t="s">
        <v>636</v>
      </c>
      <c r="W926" t="s">
        <v>1032</v>
      </c>
      <c r="X926" t="s">
        <v>824</v>
      </c>
      <c r="Y926" t="s">
        <v>1053</v>
      </c>
      <c r="Z926" t="s">
        <v>47</v>
      </c>
      <c r="AA926"/>
      <c r="AB926"/>
      <c r="AC926"/>
      <c r="AD926" t="s">
        <v>638</v>
      </c>
    </row>
    <row r="927" spans="1:30">
      <c r="A927">
        <v>3110110070</v>
      </c>
      <c r="B927" t="s">
        <v>30</v>
      </c>
      <c r="C927" t="s">
        <v>61</v>
      </c>
      <c r="D927" t="s">
        <v>62</v>
      </c>
      <c r="E927" t="s">
        <v>79</v>
      </c>
      <c r="F927" t="s">
        <v>64</v>
      </c>
      <c r="G927" t="s">
        <v>99</v>
      </c>
      <c r="H927" t="s">
        <v>50</v>
      </c>
      <c r="I927" t="s">
        <v>408</v>
      </c>
      <c r="J927" t="s">
        <v>412</v>
      </c>
      <c r="K927" t="str">
        <f>"MZJ5D122626"</f>
        <v>0</v>
      </c>
      <c r="L927">
        <v>30300</v>
      </c>
      <c r="M927"/>
      <c r="N927" t="s">
        <v>38</v>
      </c>
      <c r="O927" t="s">
        <v>38</v>
      </c>
      <c r="P927" t="s">
        <v>53</v>
      </c>
      <c r="Q927" t="s">
        <v>38</v>
      </c>
      <c r="R927" t="s">
        <v>38</v>
      </c>
      <c r="S927" t="s">
        <v>42</v>
      </c>
      <c r="T927" t="s">
        <v>42</v>
      </c>
      <c r="U927" t="s">
        <v>1032</v>
      </c>
      <c r="V927" t="s">
        <v>636</v>
      </c>
      <c r="W927" t="s">
        <v>1032</v>
      </c>
      <c r="X927" t="s">
        <v>824</v>
      </c>
      <c r="Y927" t="s">
        <v>1053</v>
      </c>
      <c r="Z927" t="s">
        <v>47</v>
      </c>
      <c r="AA927"/>
      <c r="AB927"/>
      <c r="AC927"/>
      <c r="AD927" t="s">
        <v>638</v>
      </c>
    </row>
    <row r="928" spans="1:30">
      <c r="A928">
        <v>3110110072</v>
      </c>
      <c r="B928" t="s">
        <v>30</v>
      </c>
      <c r="C928" t="s">
        <v>61</v>
      </c>
      <c r="D928" t="s">
        <v>62</v>
      </c>
      <c r="E928" t="s">
        <v>55</v>
      </c>
      <c r="F928" t="s">
        <v>340</v>
      </c>
      <c r="G928" t="s">
        <v>818</v>
      </c>
      <c r="H928" t="s">
        <v>35</v>
      </c>
      <c r="I928" t="s">
        <v>819</v>
      </c>
      <c r="J928" t="s">
        <v>1064</v>
      </c>
      <c r="K928" t="str">
        <f>"73680242"</f>
        <v>0</v>
      </c>
      <c r="L928">
        <v>2551386</v>
      </c>
      <c r="M928"/>
      <c r="N928" t="s">
        <v>38</v>
      </c>
      <c r="O928" t="s">
        <v>38</v>
      </c>
      <c r="P928" t="s">
        <v>53</v>
      </c>
      <c r="Q928" t="s">
        <v>38</v>
      </c>
      <c r="R928" t="s">
        <v>38</v>
      </c>
      <c r="S928" t="s">
        <v>42</v>
      </c>
      <c r="T928" t="s">
        <v>42</v>
      </c>
      <c r="U928" t="s">
        <v>1065</v>
      </c>
      <c r="V928" t="s">
        <v>636</v>
      </c>
      <c r="W928" t="s">
        <v>1065</v>
      </c>
      <c r="X928" t="s">
        <v>824</v>
      </c>
      <c r="Y928" t="s">
        <v>1066</v>
      </c>
      <c r="Z928" t="s">
        <v>47</v>
      </c>
      <c r="AA928"/>
      <c r="AB928"/>
      <c r="AC928"/>
      <c r="AD928" t="s">
        <v>638</v>
      </c>
    </row>
    <row r="929" spans="1:30">
      <c r="A929">
        <v>4110050002</v>
      </c>
      <c r="B929" t="s">
        <v>30</v>
      </c>
      <c r="C929" t="s">
        <v>88</v>
      </c>
      <c r="D929" t="s">
        <v>165</v>
      </c>
      <c r="E929" t="s">
        <v>55</v>
      </c>
      <c r="F929" t="s">
        <v>143</v>
      </c>
      <c r="G929" t="s">
        <v>144</v>
      </c>
      <c r="H929" t="s">
        <v>50</v>
      </c>
      <c r="I929" t="s">
        <v>404</v>
      </c>
      <c r="J929" t="s">
        <v>1067</v>
      </c>
      <c r="K929" t="str">
        <f>"n/a"</f>
        <v>0</v>
      </c>
      <c r="L929">
        <v>34335</v>
      </c>
      <c r="M929"/>
      <c r="N929" t="s">
        <v>38</v>
      </c>
      <c r="O929" t="s">
        <v>38</v>
      </c>
      <c r="P929" t="s">
        <v>53</v>
      </c>
      <c r="Q929" t="s">
        <v>38</v>
      </c>
      <c r="R929" t="s">
        <v>38</v>
      </c>
      <c r="S929" t="s">
        <v>42</v>
      </c>
      <c r="T929" t="s">
        <v>42</v>
      </c>
      <c r="U929" t="s">
        <v>1065</v>
      </c>
      <c r="V929" t="s">
        <v>1068</v>
      </c>
      <c r="W929" t="s">
        <v>1065</v>
      </c>
      <c r="X929" t="s">
        <v>824</v>
      </c>
      <c r="Y929" t="s">
        <v>1066</v>
      </c>
      <c r="Z929" t="s">
        <v>47</v>
      </c>
      <c r="AA929"/>
      <c r="AB929"/>
      <c r="AC929"/>
      <c r="AD929" t="s">
        <v>638</v>
      </c>
    </row>
    <row r="930" spans="1:30">
      <c r="A930">
        <v>3110110073</v>
      </c>
      <c r="B930" t="s">
        <v>30</v>
      </c>
      <c r="C930" t="s">
        <v>61</v>
      </c>
      <c r="D930" t="s">
        <v>62</v>
      </c>
      <c r="E930" t="s">
        <v>55</v>
      </c>
      <c r="F930" t="s">
        <v>113</v>
      </c>
      <c r="G930" t="s">
        <v>556</v>
      </c>
      <c r="H930" t="s">
        <v>50</v>
      </c>
      <c r="I930" t="s">
        <v>655</v>
      </c>
      <c r="J930" t="s">
        <v>1069</v>
      </c>
      <c r="K930" t="str">
        <f>"1100486289"</f>
        <v>0</v>
      </c>
      <c r="L930">
        <v>3405290</v>
      </c>
      <c r="M930"/>
      <c r="N930" t="s">
        <v>38</v>
      </c>
      <c r="O930" t="s">
        <v>38</v>
      </c>
      <c r="P930" t="s">
        <v>53</v>
      </c>
      <c r="Q930" t="s">
        <v>38</v>
      </c>
      <c r="R930" t="s">
        <v>38</v>
      </c>
      <c r="S930" t="s">
        <v>42</v>
      </c>
      <c r="T930" t="s">
        <v>42</v>
      </c>
      <c r="U930" t="s">
        <v>1065</v>
      </c>
      <c r="V930" t="s">
        <v>636</v>
      </c>
      <c r="W930" t="s">
        <v>1065</v>
      </c>
      <c r="X930" t="s">
        <v>824</v>
      </c>
      <c r="Y930" t="s">
        <v>1066</v>
      </c>
      <c r="Z930" t="s">
        <v>47</v>
      </c>
      <c r="AA930"/>
      <c r="AB930"/>
      <c r="AC930"/>
      <c r="AD930" t="s">
        <v>638</v>
      </c>
    </row>
    <row r="931" spans="1:30">
      <c r="A931">
        <v>4110050008</v>
      </c>
      <c r="B931" t="s">
        <v>30</v>
      </c>
      <c r="C931" t="s">
        <v>88</v>
      </c>
      <c r="D931" t="s">
        <v>165</v>
      </c>
      <c r="E931" t="s">
        <v>79</v>
      </c>
      <c r="F931" t="s">
        <v>64</v>
      </c>
      <c r="G931" t="s">
        <v>99</v>
      </c>
      <c r="H931" t="s">
        <v>50</v>
      </c>
      <c r="I931" t="s">
        <v>102</v>
      </c>
      <c r="J931" t="s">
        <v>374</v>
      </c>
      <c r="K931" t="str">
        <f>"ma21050561605"</f>
        <v>0</v>
      </c>
      <c r="L931">
        <v>77650</v>
      </c>
      <c r="M931"/>
      <c r="N931" t="s">
        <v>38</v>
      </c>
      <c r="O931" t="s">
        <v>38</v>
      </c>
      <c r="P931" t="s">
        <v>53</v>
      </c>
      <c r="Q931" t="s">
        <v>38</v>
      </c>
      <c r="R931" t="s">
        <v>38</v>
      </c>
      <c r="S931" t="s">
        <v>42</v>
      </c>
      <c r="T931" t="s">
        <v>42</v>
      </c>
      <c r="U931" t="s">
        <v>1065</v>
      </c>
      <c r="V931" t="s">
        <v>1068</v>
      </c>
      <c r="W931" t="s">
        <v>1065</v>
      </c>
      <c r="X931" t="s">
        <v>824</v>
      </c>
      <c r="Y931" t="s">
        <v>1066</v>
      </c>
      <c r="Z931" t="s">
        <v>47</v>
      </c>
      <c r="AA931"/>
      <c r="AB931"/>
      <c r="AC931"/>
      <c r="AD931" t="s">
        <v>638</v>
      </c>
    </row>
    <row r="932" spans="1:30">
      <c r="A932">
        <v>4110050011</v>
      </c>
      <c r="B932" t="s">
        <v>30</v>
      </c>
      <c r="C932" t="s">
        <v>88</v>
      </c>
      <c r="D932" t="s">
        <v>165</v>
      </c>
      <c r="E932" t="s">
        <v>79</v>
      </c>
      <c r="F932" t="s">
        <v>143</v>
      </c>
      <c r="G932" t="s">
        <v>377</v>
      </c>
      <c r="H932" t="s">
        <v>50</v>
      </c>
      <c r="I932" t="s">
        <v>375</v>
      </c>
      <c r="J932" t="s">
        <v>949</v>
      </c>
      <c r="K932" t="str">
        <f>"n/a"</f>
        <v>0</v>
      </c>
      <c r="L932">
        <v>30000</v>
      </c>
      <c r="M932"/>
      <c r="N932" t="s">
        <v>38</v>
      </c>
      <c r="O932" t="s">
        <v>38</v>
      </c>
      <c r="P932" t="s">
        <v>53</v>
      </c>
      <c r="Q932" t="s">
        <v>38</v>
      </c>
      <c r="R932" t="s">
        <v>38</v>
      </c>
      <c r="S932" t="s">
        <v>42</v>
      </c>
      <c r="T932" t="s">
        <v>42</v>
      </c>
      <c r="U932" t="s">
        <v>1065</v>
      </c>
      <c r="V932" t="s">
        <v>1068</v>
      </c>
      <c r="W932" t="s">
        <v>1065</v>
      </c>
      <c r="X932" t="s">
        <v>824</v>
      </c>
      <c r="Y932" t="s">
        <v>1066</v>
      </c>
      <c r="Z932" t="s">
        <v>47</v>
      </c>
      <c r="AA932"/>
      <c r="AB932"/>
      <c r="AC932"/>
      <c r="AD932" t="s">
        <v>638</v>
      </c>
    </row>
    <row r="933" spans="1:30">
      <c r="A933">
        <v>3110110082</v>
      </c>
      <c r="B933" t="s">
        <v>30</v>
      </c>
      <c r="C933" t="s">
        <v>61</v>
      </c>
      <c r="D933" t="s">
        <v>62</v>
      </c>
      <c r="E933" t="s">
        <v>494</v>
      </c>
      <c r="F933" t="s">
        <v>48</v>
      </c>
      <c r="G933" t="s">
        <v>280</v>
      </c>
      <c r="H933" t="s">
        <v>50</v>
      </c>
      <c r="I933" t="s">
        <v>254</v>
      </c>
      <c r="J933" t="s">
        <v>59</v>
      </c>
      <c r="K933" t="str">
        <f>"na"</f>
        <v>0</v>
      </c>
      <c r="L933">
        <v>105340</v>
      </c>
      <c r="M933"/>
      <c r="N933" t="s">
        <v>38</v>
      </c>
      <c r="O933" t="s">
        <v>38</v>
      </c>
      <c r="P933" t="s">
        <v>53</v>
      </c>
      <c r="Q933" t="s">
        <v>38</v>
      </c>
      <c r="R933" t="s">
        <v>38</v>
      </c>
      <c r="S933" t="s">
        <v>42</v>
      </c>
      <c r="T933" t="s">
        <v>42</v>
      </c>
      <c r="U933" t="s">
        <v>1065</v>
      </c>
      <c r="V933" t="s">
        <v>636</v>
      </c>
      <c r="W933" t="s">
        <v>1065</v>
      </c>
      <c r="X933" t="s">
        <v>824</v>
      </c>
      <c r="Y933" t="s">
        <v>1066</v>
      </c>
      <c r="Z933" t="s">
        <v>47</v>
      </c>
      <c r="AA933"/>
      <c r="AB933"/>
      <c r="AC933"/>
      <c r="AD933" t="s">
        <v>638</v>
      </c>
    </row>
    <row r="934" spans="1:30">
      <c r="A934">
        <v>4110050016</v>
      </c>
      <c r="B934" t="s">
        <v>30</v>
      </c>
      <c r="C934" t="s">
        <v>88</v>
      </c>
      <c r="D934" t="s">
        <v>165</v>
      </c>
      <c r="E934" t="s">
        <v>48</v>
      </c>
      <c r="F934" t="s">
        <v>48</v>
      </c>
      <c r="G934" t="s">
        <v>453</v>
      </c>
      <c r="H934" t="s">
        <v>50</v>
      </c>
      <c r="I934" t="s">
        <v>454</v>
      </c>
      <c r="J934" t="s">
        <v>1070</v>
      </c>
      <c r="K934" t="str">
        <f>"5410579a161002674"</f>
        <v>0</v>
      </c>
      <c r="L934">
        <v>27991</v>
      </c>
      <c r="M934"/>
      <c r="N934" t="s">
        <v>38</v>
      </c>
      <c r="O934" t="s">
        <v>38</v>
      </c>
      <c r="P934" t="s">
        <v>53</v>
      </c>
      <c r="Q934" t="s">
        <v>38</v>
      </c>
      <c r="R934" t="s">
        <v>38</v>
      </c>
      <c r="S934" t="s">
        <v>68</v>
      </c>
      <c r="T934" t="s">
        <v>42</v>
      </c>
      <c r="U934" t="s">
        <v>1065</v>
      </c>
      <c r="V934" t="s">
        <v>1068</v>
      </c>
      <c r="W934" t="s">
        <v>1065</v>
      </c>
      <c r="X934" t="s">
        <v>824</v>
      </c>
      <c r="Y934" t="s">
        <v>1066</v>
      </c>
      <c r="Z934" t="s">
        <v>47</v>
      </c>
      <c r="AA934"/>
      <c r="AB934"/>
      <c r="AC934"/>
      <c r="AD934" t="s">
        <v>638</v>
      </c>
    </row>
    <row r="935" spans="1:30">
      <c r="A935">
        <v>4110050013</v>
      </c>
      <c r="B935" t="s">
        <v>30</v>
      </c>
      <c r="C935" t="s">
        <v>88</v>
      </c>
      <c r="D935" t="s">
        <v>165</v>
      </c>
      <c r="E935" t="s">
        <v>48</v>
      </c>
      <c r="F935" t="s">
        <v>48</v>
      </c>
      <c r="G935" t="s">
        <v>712</v>
      </c>
      <c r="H935" t="s">
        <v>50</v>
      </c>
      <c r="I935" t="s">
        <v>1071</v>
      </c>
      <c r="J935" t="s">
        <v>949</v>
      </c>
      <c r="K935" t="str">
        <f>"n/a"</f>
        <v>0</v>
      </c>
      <c r="L935">
        <v>35000</v>
      </c>
      <c r="M935"/>
      <c r="N935" t="s">
        <v>38</v>
      </c>
      <c r="O935" t="s">
        <v>38</v>
      </c>
      <c r="P935" t="s">
        <v>53</v>
      </c>
      <c r="Q935" t="s">
        <v>38</v>
      </c>
      <c r="R935" t="s">
        <v>38</v>
      </c>
      <c r="S935" t="s">
        <v>42</v>
      </c>
      <c r="T935" t="s">
        <v>42</v>
      </c>
      <c r="U935" t="s">
        <v>1065</v>
      </c>
      <c r="V935" t="s">
        <v>1068</v>
      </c>
      <c r="W935" t="s">
        <v>1065</v>
      </c>
      <c r="X935" t="s">
        <v>824</v>
      </c>
      <c r="Y935" t="s">
        <v>1066</v>
      </c>
      <c r="Z935" t="s">
        <v>47</v>
      </c>
      <c r="AA935"/>
      <c r="AB935"/>
      <c r="AC935"/>
      <c r="AD935" t="s">
        <v>638</v>
      </c>
    </row>
    <row r="936" spans="1:30">
      <c r="A936">
        <v>3110110083</v>
      </c>
      <c r="B936" t="s">
        <v>30</v>
      </c>
      <c r="C936" t="s">
        <v>61</v>
      </c>
      <c r="D936" t="s">
        <v>62</v>
      </c>
      <c r="E936" t="s">
        <v>494</v>
      </c>
      <c r="F936" t="s">
        <v>48</v>
      </c>
      <c r="G936" t="s">
        <v>136</v>
      </c>
      <c r="H936" t="s">
        <v>50</v>
      </c>
      <c r="I936" t="s">
        <v>254</v>
      </c>
      <c r="J936" t="s">
        <v>59</v>
      </c>
      <c r="K936" t="str">
        <f>"na"</f>
        <v>0</v>
      </c>
      <c r="L936">
        <v>350000</v>
      </c>
      <c r="M936"/>
      <c r="N936" t="s">
        <v>38</v>
      </c>
      <c r="O936" t="s">
        <v>38</v>
      </c>
      <c r="P936" t="s">
        <v>53</v>
      </c>
      <c r="Q936" t="s">
        <v>38</v>
      </c>
      <c r="R936" t="s">
        <v>38</v>
      </c>
      <c r="S936" t="s">
        <v>42</v>
      </c>
      <c r="T936" t="s">
        <v>42</v>
      </c>
      <c r="U936" t="s">
        <v>1065</v>
      </c>
      <c r="V936" t="s">
        <v>636</v>
      </c>
      <c r="W936" t="s">
        <v>1065</v>
      </c>
      <c r="X936" t="s">
        <v>824</v>
      </c>
      <c r="Y936" t="s">
        <v>1066</v>
      </c>
      <c r="Z936" t="s">
        <v>47</v>
      </c>
      <c r="AA936"/>
      <c r="AB936"/>
      <c r="AC936"/>
      <c r="AD936" t="s">
        <v>638</v>
      </c>
    </row>
    <row r="937" spans="1:30">
      <c r="A937">
        <v>4110050012</v>
      </c>
      <c r="B937" t="s">
        <v>30</v>
      </c>
      <c r="C937" t="s">
        <v>88</v>
      </c>
      <c r="D937" t="s">
        <v>165</v>
      </c>
      <c r="E937" t="s">
        <v>48</v>
      </c>
      <c r="F937" t="s">
        <v>48</v>
      </c>
      <c r="G937" t="s">
        <v>620</v>
      </c>
      <c r="H937" t="s">
        <v>50</v>
      </c>
      <c r="I937" t="s">
        <v>621</v>
      </c>
      <c r="J937" t="s">
        <v>1072</v>
      </c>
      <c r="K937" t="str">
        <f>"c1603102"</f>
        <v>0</v>
      </c>
      <c r="L937">
        <v>100000</v>
      </c>
      <c r="M937"/>
      <c r="N937" t="s">
        <v>38</v>
      </c>
      <c r="O937" t="s">
        <v>38</v>
      </c>
      <c r="P937" t="s">
        <v>53</v>
      </c>
      <c r="Q937" t="s">
        <v>38</v>
      </c>
      <c r="R937" t="s">
        <v>38</v>
      </c>
      <c r="S937" t="s">
        <v>42</v>
      </c>
      <c r="T937" t="s">
        <v>42</v>
      </c>
      <c r="U937" t="s">
        <v>1065</v>
      </c>
      <c r="V937" t="s">
        <v>1068</v>
      </c>
      <c r="W937" t="s">
        <v>1065</v>
      </c>
      <c r="X937" t="s">
        <v>824</v>
      </c>
      <c r="Y937" t="s">
        <v>1066</v>
      </c>
      <c r="Z937" t="s">
        <v>47</v>
      </c>
      <c r="AA937"/>
      <c r="AB937"/>
      <c r="AC937"/>
      <c r="AD937" t="s">
        <v>638</v>
      </c>
    </row>
    <row r="938" spans="1:30">
      <c r="A938">
        <v>4110050014</v>
      </c>
      <c r="B938" t="s">
        <v>30</v>
      </c>
      <c r="C938" t="s">
        <v>88</v>
      </c>
      <c r="D938" t="s">
        <v>165</v>
      </c>
      <c r="E938" t="s">
        <v>48</v>
      </c>
      <c r="F938" t="s">
        <v>48</v>
      </c>
      <c r="G938" t="s">
        <v>203</v>
      </c>
      <c r="H938" t="s">
        <v>50</v>
      </c>
      <c r="I938" t="s">
        <v>173</v>
      </c>
      <c r="J938" t="s">
        <v>1024</v>
      </c>
      <c r="K938" t="str">
        <f>"jfjn-33378"</f>
        <v>0</v>
      </c>
      <c r="L938">
        <v>36125</v>
      </c>
      <c r="M938"/>
      <c r="N938" t="s">
        <v>38</v>
      </c>
      <c r="O938" t="s">
        <v>38</v>
      </c>
      <c r="P938" t="s">
        <v>53</v>
      </c>
      <c r="Q938" t="s">
        <v>38</v>
      </c>
      <c r="R938" t="s">
        <v>38</v>
      </c>
      <c r="S938" t="s">
        <v>42</v>
      </c>
      <c r="T938" t="s">
        <v>42</v>
      </c>
      <c r="U938" t="s">
        <v>1065</v>
      </c>
      <c r="V938" t="s">
        <v>1068</v>
      </c>
      <c r="W938" t="s">
        <v>1065</v>
      </c>
      <c r="X938" t="s">
        <v>824</v>
      </c>
      <c r="Y938" t="s">
        <v>1066</v>
      </c>
      <c r="Z938" t="s">
        <v>47</v>
      </c>
      <c r="AA938"/>
      <c r="AB938"/>
      <c r="AC938"/>
      <c r="AD938" t="s">
        <v>638</v>
      </c>
    </row>
    <row r="939" spans="1:30">
      <c r="A939">
        <v>4110050019</v>
      </c>
      <c r="B939" t="s">
        <v>30</v>
      </c>
      <c r="C939" t="s">
        <v>88</v>
      </c>
      <c r="D939" t="s">
        <v>165</v>
      </c>
      <c r="E939" t="s">
        <v>48</v>
      </c>
      <c r="F939" t="s">
        <v>48</v>
      </c>
      <c r="G939" t="s">
        <v>540</v>
      </c>
      <c r="H939" t="s">
        <v>50</v>
      </c>
      <c r="I939" t="s">
        <v>541</v>
      </c>
      <c r="J939" t="s">
        <v>542</v>
      </c>
      <c r="K939" t="str">
        <f>"20652"</f>
        <v>0</v>
      </c>
      <c r="L939">
        <v>6000</v>
      </c>
      <c r="M939"/>
      <c r="N939" t="s">
        <v>38</v>
      </c>
      <c r="O939" t="s">
        <v>38</v>
      </c>
      <c r="P939" t="s">
        <v>53</v>
      </c>
      <c r="Q939" t="s">
        <v>38</v>
      </c>
      <c r="R939" t="s">
        <v>38</v>
      </c>
      <c r="S939" t="s">
        <v>42</v>
      </c>
      <c r="T939" t="s">
        <v>42</v>
      </c>
      <c r="U939" t="s">
        <v>1065</v>
      </c>
      <c r="V939" t="s">
        <v>1068</v>
      </c>
      <c r="W939" t="s">
        <v>1065</v>
      </c>
      <c r="X939" t="s">
        <v>824</v>
      </c>
      <c r="Y939" t="s">
        <v>1066</v>
      </c>
      <c r="Z939" t="s">
        <v>47</v>
      </c>
      <c r="AA939"/>
      <c r="AB939"/>
      <c r="AC939"/>
      <c r="AD939" t="s">
        <v>638</v>
      </c>
    </row>
    <row r="940" spans="1:30">
      <c r="A940">
        <v>4110050018</v>
      </c>
      <c r="B940" t="s">
        <v>30</v>
      </c>
      <c r="C940" t="s">
        <v>88</v>
      </c>
      <c r="D940" t="s">
        <v>165</v>
      </c>
      <c r="E940" t="s">
        <v>48</v>
      </c>
      <c r="F940" t="s">
        <v>48</v>
      </c>
      <c r="G940" t="s">
        <v>203</v>
      </c>
      <c r="H940" t="s">
        <v>50</v>
      </c>
      <c r="I940" t="s">
        <v>375</v>
      </c>
      <c r="J940" t="s">
        <v>949</v>
      </c>
      <c r="K940" t="str">
        <f>"n/a"</f>
        <v>0</v>
      </c>
      <c r="L940">
        <v>20000</v>
      </c>
      <c r="M940"/>
      <c r="N940" t="s">
        <v>38</v>
      </c>
      <c r="O940" t="s">
        <v>38</v>
      </c>
      <c r="P940" t="s">
        <v>53</v>
      </c>
      <c r="Q940" t="s">
        <v>38</v>
      </c>
      <c r="R940" t="s">
        <v>38</v>
      </c>
      <c r="S940" t="s">
        <v>42</v>
      </c>
      <c r="T940" t="s">
        <v>42</v>
      </c>
      <c r="U940" t="s">
        <v>1065</v>
      </c>
      <c r="V940" t="s">
        <v>1068</v>
      </c>
      <c r="W940" t="s">
        <v>1065</v>
      </c>
      <c r="X940" t="s">
        <v>824</v>
      </c>
      <c r="Y940" t="s">
        <v>1066</v>
      </c>
      <c r="Z940" t="s">
        <v>47</v>
      </c>
      <c r="AA940"/>
      <c r="AB940"/>
      <c r="AC940"/>
      <c r="AD940" t="s">
        <v>638</v>
      </c>
    </row>
    <row r="941" spans="1:30">
      <c r="A941">
        <v>4110050020</v>
      </c>
      <c r="B941" t="s">
        <v>30</v>
      </c>
      <c r="C941" t="s">
        <v>88</v>
      </c>
      <c r="D941" t="s">
        <v>165</v>
      </c>
      <c r="E941" t="s">
        <v>842</v>
      </c>
      <c r="F941" t="s">
        <v>33</v>
      </c>
      <c r="G941" t="s">
        <v>608</v>
      </c>
      <c r="H941" t="s">
        <v>35</v>
      </c>
      <c r="I941" t="s">
        <v>262</v>
      </c>
      <c r="J941" t="s">
        <v>1073</v>
      </c>
      <c r="K941" t="str">
        <f>"010800519"</f>
        <v>0</v>
      </c>
      <c r="L941">
        <v>131750</v>
      </c>
      <c r="M941"/>
      <c r="N941" t="s">
        <v>38</v>
      </c>
      <c r="O941" t="s">
        <v>38</v>
      </c>
      <c r="P941" t="s">
        <v>53</v>
      </c>
      <c r="Q941" t="s">
        <v>38</v>
      </c>
      <c r="R941" t="s">
        <v>38</v>
      </c>
      <c r="S941" t="s">
        <v>42</v>
      </c>
      <c r="T941" t="s">
        <v>42</v>
      </c>
      <c r="U941" t="s">
        <v>1065</v>
      </c>
      <c r="V941" t="s">
        <v>1068</v>
      </c>
      <c r="W941" t="s">
        <v>1065</v>
      </c>
      <c r="X941" t="s">
        <v>824</v>
      </c>
      <c r="Y941" t="s">
        <v>1066</v>
      </c>
      <c r="Z941" t="s">
        <v>47</v>
      </c>
      <c r="AA941"/>
      <c r="AB941"/>
      <c r="AC941"/>
      <c r="AD941" t="s">
        <v>638</v>
      </c>
    </row>
    <row r="942" spans="1:30">
      <c r="A942">
        <v>4110050021</v>
      </c>
      <c r="B942" t="s">
        <v>30</v>
      </c>
      <c r="C942" t="s">
        <v>88</v>
      </c>
      <c r="D942" t="s">
        <v>165</v>
      </c>
      <c r="E942" t="s">
        <v>842</v>
      </c>
      <c r="F942" t="s">
        <v>33</v>
      </c>
      <c r="G942" t="s">
        <v>843</v>
      </c>
      <c r="H942" t="s">
        <v>35</v>
      </c>
      <c r="I942" t="s">
        <v>962</v>
      </c>
      <c r="J942" t="s">
        <v>1074</v>
      </c>
      <c r="K942" t="str">
        <f>"96573545"</f>
        <v>0</v>
      </c>
      <c r="L942">
        <v>950000</v>
      </c>
      <c r="M942"/>
      <c r="N942" t="s">
        <v>38</v>
      </c>
      <c r="O942" t="s">
        <v>38</v>
      </c>
      <c r="P942" t="s">
        <v>53</v>
      </c>
      <c r="Q942" t="s">
        <v>38</v>
      </c>
      <c r="R942" t="s">
        <v>38</v>
      </c>
      <c r="S942" t="s">
        <v>42</v>
      </c>
      <c r="T942" t="s">
        <v>42</v>
      </c>
      <c r="U942" t="s">
        <v>1065</v>
      </c>
      <c r="V942" t="s">
        <v>1068</v>
      </c>
      <c r="W942" t="s">
        <v>1065</v>
      </c>
      <c r="X942" t="s">
        <v>824</v>
      </c>
      <c r="Y942" t="s">
        <v>1066</v>
      </c>
      <c r="Z942" t="s">
        <v>47</v>
      </c>
      <c r="AA942"/>
      <c r="AB942"/>
      <c r="AC942"/>
      <c r="AD942" t="s">
        <v>638</v>
      </c>
    </row>
    <row r="943" spans="1:30">
      <c r="A943">
        <v>3110110085</v>
      </c>
      <c r="B943" t="s">
        <v>30</v>
      </c>
      <c r="C943" t="s">
        <v>61</v>
      </c>
      <c r="D943" t="s">
        <v>62</v>
      </c>
      <c r="E943" t="s">
        <v>48</v>
      </c>
      <c r="F943" t="s">
        <v>48</v>
      </c>
      <c r="G943" t="s">
        <v>158</v>
      </c>
      <c r="H943" t="s">
        <v>50</v>
      </c>
      <c r="I943" t="s">
        <v>621</v>
      </c>
      <c r="J943" t="s">
        <v>1075</v>
      </c>
      <c r="K943" t="str">
        <f>"161126"</f>
        <v>0</v>
      </c>
      <c r="L943">
        <v>246225</v>
      </c>
      <c r="M943"/>
      <c r="N943" t="s">
        <v>38</v>
      </c>
      <c r="O943" t="s">
        <v>38</v>
      </c>
      <c r="P943" t="s">
        <v>53</v>
      </c>
      <c r="Q943" t="s">
        <v>38</v>
      </c>
      <c r="R943" t="s">
        <v>38</v>
      </c>
      <c r="S943" t="s">
        <v>42</v>
      </c>
      <c r="T943" t="s">
        <v>42</v>
      </c>
      <c r="U943" t="s">
        <v>1065</v>
      </c>
      <c r="V943" t="s">
        <v>636</v>
      </c>
      <c r="W943" t="s">
        <v>1065</v>
      </c>
      <c r="X943" t="s">
        <v>824</v>
      </c>
      <c r="Y943" t="s">
        <v>1066</v>
      </c>
      <c r="Z943" t="s">
        <v>47</v>
      </c>
      <c r="AA943"/>
      <c r="AB943"/>
      <c r="AC943"/>
      <c r="AD943" t="s">
        <v>638</v>
      </c>
    </row>
    <row r="944" spans="1:30">
      <c r="A944">
        <v>3110110086</v>
      </c>
      <c r="B944" t="s">
        <v>30</v>
      </c>
      <c r="C944" t="s">
        <v>61</v>
      </c>
      <c r="D944" t="s">
        <v>62</v>
      </c>
      <c r="E944" t="s">
        <v>48</v>
      </c>
      <c r="F944" t="s">
        <v>48</v>
      </c>
      <c r="G944" t="s">
        <v>1076</v>
      </c>
      <c r="H944" t="s">
        <v>50</v>
      </c>
      <c r="I944" t="s">
        <v>290</v>
      </c>
      <c r="J944" t="s">
        <v>59</v>
      </c>
      <c r="K944" t="str">
        <f>"na"</f>
        <v>0</v>
      </c>
      <c r="L944">
        <v>25000</v>
      </c>
      <c r="M944"/>
      <c r="N944" t="s">
        <v>38</v>
      </c>
      <c r="O944" t="s">
        <v>38</v>
      </c>
      <c r="P944" t="s">
        <v>53</v>
      </c>
      <c r="Q944" t="s">
        <v>38</v>
      </c>
      <c r="R944" t="s">
        <v>38</v>
      </c>
      <c r="S944" t="s">
        <v>42</v>
      </c>
      <c r="T944" t="s">
        <v>42</v>
      </c>
      <c r="U944" t="s">
        <v>1065</v>
      </c>
      <c r="V944" t="s">
        <v>636</v>
      </c>
      <c r="W944" t="s">
        <v>1065</v>
      </c>
      <c r="X944" t="s">
        <v>824</v>
      </c>
      <c r="Y944" t="s">
        <v>1066</v>
      </c>
      <c r="Z944" t="s">
        <v>47</v>
      </c>
      <c r="AA944"/>
      <c r="AB944"/>
      <c r="AC944"/>
      <c r="AD944" t="s">
        <v>638</v>
      </c>
    </row>
    <row r="945" spans="1:30">
      <c r="A945">
        <v>4110050025</v>
      </c>
      <c r="B945" t="s">
        <v>30</v>
      </c>
      <c r="C945" t="s">
        <v>88</v>
      </c>
      <c r="D945" t="s">
        <v>165</v>
      </c>
      <c r="E945" t="s">
        <v>104</v>
      </c>
      <c r="F945" t="s">
        <v>64</v>
      </c>
      <c r="G945" t="s">
        <v>99</v>
      </c>
      <c r="H945" t="s">
        <v>50</v>
      </c>
      <c r="I945" t="s">
        <v>314</v>
      </c>
      <c r="J945" t="s">
        <v>796</v>
      </c>
      <c r="K945" t="str">
        <f>"21g23d401aa011181"</f>
        <v>0</v>
      </c>
      <c r="L945">
        <v>36000</v>
      </c>
      <c r="M945"/>
      <c r="N945" t="s">
        <v>38</v>
      </c>
      <c r="O945" t="s">
        <v>38</v>
      </c>
      <c r="P945" t="s">
        <v>53</v>
      </c>
      <c r="Q945" t="s">
        <v>38</v>
      </c>
      <c r="R945" t="s">
        <v>38</v>
      </c>
      <c r="S945" t="s">
        <v>42</v>
      </c>
      <c r="T945" t="s">
        <v>42</v>
      </c>
      <c r="U945" t="s">
        <v>1065</v>
      </c>
      <c r="V945" t="s">
        <v>1068</v>
      </c>
      <c r="W945" t="s">
        <v>1065</v>
      </c>
      <c r="X945" t="s">
        <v>824</v>
      </c>
      <c r="Y945" t="s">
        <v>1066</v>
      </c>
      <c r="Z945" t="s">
        <v>47</v>
      </c>
      <c r="AA945"/>
      <c r="AB945"/>
      <c r="AC945"/>
      <c r="AD945" t="s">
        <v>638</v>
      </c>
    </row>
    <row r="946" spans="1:30">
      <c r="A946">
        <v>3110110091</v>
      </c>
      <c r="B946" t="s">
        <v>30</v>
      </c>
      <c r="C946" t="s">
        <v>61</v>
      </c>
      <c r="D946" t="s">
        <v>62</v>
      </c>
      <c r="E946" t="s">
        <v>48</v>
      </c>
      <c r="F946" t="s">
        <v>48</v>
      </c>
      <c r="G946" t="s">
        <v>1077</v>
      </c>
      <c r="H946" t="s">
        <v>50</v>
      </c>
      <c r="I946" t="s">
        <v>100</v>
      </c>
      <c r="J946" t="s">
        <v>59</v>
      </c>
      <c r="K946" t="str">
        <f>"nw"</f>
        <v>0</v>
      </c>
      <c r="L946">
        <v>600000</v>
      </c>
      <c r="M946"/>
      <c r="N946" t="s">
        <v>38</v>
      </c>
      <c r="O946" t="s">
        <v>38</v>
      </c>
      <c r="P946" t="s">
        <v>53</v>
      </c>
      <c r="Q946" t="s">
        <v>38</v>
      </c>
      <c r="R946" t="s">
        <v>38</v>
      </c>
      <c r="S946" t="s">
        <v>42</v>
      </c>
      <c r="T946" t="s">
        <v>42</v>
      </c>
      <c r="U946" t="s">
        <v>1065</v>
      </c>
      <c r="V946" t="s">
        <v>636</v>
      </c>
      <c r="W946" t="s">
        <v>1065</v>
      </c>
      <c r="X946" t="s">
        <v>824</v>
      </c>
      <c r="Y946" t="s">
        <v>1066</v>
      </c>
      <c r="Z946" t="s">
        <v>47</v>
      </c>
      <c r="AA946"/>
      <c r="AB946"/>
      <c r="AC946"/>
      <c r="AD946" t="s">
        <v>638</v>
      </c>
    </row>
    <row r="947" spans="1:30">
      <c r="A947">
        <v>4110050029</v>
      </c>
      <c r="B947" t="s">
        <v>30</v>
      </c>
      <c r="C947" t="s">
        <v>88</v>
      </c>
      <c r="D947" t="s">
        <v>165</v>
      </c>
      <c r="E947" t="s">
        <v>152</v>
      </c>
      <c r="F947" t="s">
        <v>152</v>
      </c>
      <c r="G947" t="s">
        <v>763</v>
      </c>
      <c r="H947" t="s">
        <v>50</v>
      </c>
      <c r="I947" t="s">
        <v>764</v>
      </c>
      <c r="J947" t="s">
        <v>1078</v>
      </c>
      <c r="K947" t="str">
        <f>"1249101305"</f>
        <v>0</v>
      </c>
      <c r="L947">
        <v>475154</v>
      </c>
      <c r="M947"/>
      <c r="N947" t="s">
        <v>38</v>
      </c>
      <c r="O947" t="s">
        <v>38</v>
      </c>
      <c r="P947" t="s">
        <v>53</v>
      </c>
      <c r="Q947" t="s">
        <v>38</v>
      </c>
      <c r="R947" t="s">
        <v>38</v>
      </c>
      <c r="S947" t="s">
        <v>42</v>
      </c>
      <c r="T947" t="s">
        <v>42</v>
      </c>
      <c r="U947" t="s">
        <v>1065</v>
      </c>
      <c r="V947" t="s">
        <v>1068</v>
      </c>
      <c r="W947" t="s">
        <v>1065</v>
      </c>
      <c r="X947" t="s">
        <v>824</v>
      </c>
      <c r="Y947" t="s">
        <v>1066</v>
      </c>
      <c r="Z947" t="s">
        <v>47</v>
      </c>
      <c r="AA947"/>
      <c r="AB947"/>
      <c r="AC947"/>
      <c r="AD947" t="s">
        <v>638</v>
      </c>
    </row>
    <row r="948" spans="1:30">
      <c r="A948">
        <v>4110050022</v>
      </c>
      <c r="B948" t="s">
        <v>30</v>
      </c>
      <c r="C948" t="s">
        <v>88</v>
      </c>
      <c r="D948" t="s">
        <v>165</v>
      </c>
      <c r="E948" t="s">
        <v>152</v>
      </c>
      <c r="F948" t="s">
        <v>152</v>
      </c>
      <c r="G948" t="s">
        <v>723</v>
      </c>
      <c r="H948" t="s">
        <v>50</v>
      </c>
      <c r="I948" t="s">
        <v>912</v>
      </c>
      <c r="J948" t="s">
        <v>1079</v>
      </c>
      <c r="K948" t="str">
        <f>"n/a"</f>
        <v>0</v>
      </c>
      <c r="L948">
        <v>94500</v>
      </c>
      <c r="M948"/>
      <c r="N948" t="s">
        <v>38</v>
      </c>
      <c r="O948" t="s">
        <v>38</v>
      </c>
      <c r="P948" t="s">
        <v>53</v>
      </c>
      <c r="Q948" t="s">
        <v>38</v>
      </c>
      <c r="R948" t="s">
        <v>38</v>
      </c>
      <c r="S948" t="s">
        <v>42</v>
      </c>
      <c r="T948" t="s">
        <v>42</v>
      </c>
      <c r="U948" t="s">
        <v>1065</v>
      </c>
      <c r="V948" t="s">
        <v>1068</v>
      </c>
      <c r="W948" t="s">
        <v>1065</v>
      </c>
      <c r="X948" t="s">
        <v>824</v>
      </c>
      <c r="Y948" t="s">
        <v>1066</v>
      </c>
      <c r="Z948" t="s">
        <v>47</v>
      </c>
      <c r="AA948"/>
      <c r="AB948"/>
      <c r="AC948"/>
      <c r="AD948" t="s">
        <v>638</v>
      </c>
    </row>
    <row r="949" spans="1:30">
      <c r="A949">
        <v>3110110092</v>
      </c>
      <c r="B949" t="s">
        <v>30</v>
      </c>
      <c r="C949" t="s">
        <v>61</v>
      </c>
      <c r="D949" t="s">
        <v>62</v>
      </c>
      <c r="E949" t="s">
        <v>48</v>
      </c>
      <c r="F949" t="s">
        <v>48</v>
      </c>
      <c r="G949" t="s">
        <v>334</v>
      </c>
      <c r="H949" t="s">
        <v>35</v>
      </c>
      <c r="I949" t="s">
        <v>688</v>
      </c>
      <c r="J949" t="s">
        <v>1080</v>
      </c>
      <c r="K949" t="str">
        <f>"2575"</f>
        <v>0</v>
      </c>
      <c r="L949">
        <v>370000</v>
      </c>
      <c r="M949"/>
      <c r="N949" t="s">
        <v>38</v>
      </c>
      <c r="O949" t="s">
        <v>38</v>
      </c>
      <c r="P949" t="s">
        <v>53</v>
      </c>
      <c r="Q949" t="s">
        <v>38</v>
      </c>
      <c r="R949" t="s">
        <v>38</v>
      </c>
      <c r="S949" t="s">
        <v>42</v>
      </c>
      <c r="T949" t="s">
        <v>42</v>
      </c>
      <c r="U949" t="s">
        <v>1065</v>
      </c>
      <c r="V949" t="s">
        <v>636</v>
      </c>
      <c r="W949" t="s">
        <v>1065</v>
      </c>
      <c r="X949" t="s">
        <v>824</v>
      </c>
      <c r="Y949" t="s">
        <v>1066</v>
      </c>
      <c r="Z949" t="s">
        <v>47</v>
      </c>
      <c r="AA949"/>
      <c r="AB949"/>
      <c r="AC949"/>
      <c r="AD949" t="s">
        <v>638</v>
      </c>
    </row>
    <row r="950" spans="1:30">
      <c r="A950">
        <v>3110110093</v>
      </c>
      <c r="B950" t="s">
        <v>30</v>
      </c>
      <c r="C950" t="s">
        <v>61</v>
      </c>
      <c r="D950" t="s">
        <v>62</v>
      </c>
      <c r="E950" t="s">
        <v>151</v>
      </c>
      <c r="F950" t="s">
        <v>152</v>
      </c>
      <c r="G950" t="s">
        <v>763</v>
      </c>
      <c r="H950" t="s">
        <v>50</v>
      </c>
      <c r="I950" t="s">
        <v>764</v>
      </c>
      <c r="J950" t="s">
        <v>910</v>
      </c>
      <c r="K950" t="str">
        <f>"na"</f>
        <v>0</v>
      </c>
      <c r="L950">
        <v>323500</v>
      </c>
      <c r="M950"/>
      <c r="N950" t="s">
        <v>38</v>
      </c>
      <c r="O950" t="s">
        <v>38</v>
      </c>
      <c r="P950" t="s">
        <v>53</v>
      </c>
      <c r="Q950" t="s">
        <v>38</v>
      </c>
      <c r="R950" t="s">
        <v>38</v>
      </c>
      <c r="S950" t="s">
        <v>42</v>
      </c>
      <c r="T950" t="s">
        <v>42</v>
      </c>
      <c r="U950" t="s">
        <v>1065</v>
      </c>
      <c r="V950" t="s">
        <v>636</v>
      </c>
      <c r="W950" t="s">
        <v>1065</v>
      </c>
      <c r="X950" t="s">
        <v>824</v>
      </c>
      <c r="Y950" t="s">
        <v>1066</v>
      </c>
      <c r="Z950" t="s">
        <v>47</v>
      </c>
      <c r="AA950"/>
      <c r="AB950"/>
      <c r="AC950"/>
      <c r="AD950" t="s">
        <v>1081</v>
      </c>
    </row>
    <row r="951" spans="1:30">
      <c r="A951">
        <v>4110050027</v>
      </c>
      <c r="B951" t="s">
        <v>30</v>
      </c>
      <c r="C951" t="s">
        <v>88</v>
      </c>
      <c r="D951" t="s">
        <v>165</v>
      </c>
      <c r="E951" t="s">
        <v>104</v>
      </c>
      <c r="F951" t="s">
        <v>64</v>
      </c>
      <c r="G951" t="s">
        <v>99</v>
      </c>
      <c r="H951" t="s">
        <v>50</v>
      </c>
      <c r="I951" t="s">
        <v>314</v>
      </c>
      <c r="J951" t="s">
        <v>796</v>
      </c>
      <c r="K951" t="str">
        <f>"21g23d401aa011163"</f>
        <v>0</v>
      </c>
      <c r="L951">
        <v>36000</v>
      </c>
      <c r="M951"/>
      <c r="N951" t="s">
        <v>38</v>
      </c>
      <c r="O951" t="s">
        <v>38</v>
      </c>
      <c r="P951" t="s">
        <v>53</v>
      </c>
      <c r="Q951" t="s">
        <v>38</v>
      </c>
      <c r="R951" t="s">
        <v>38</v>
      </c>
      <c r="S951" t="s">
        <v>42</v>
      </c>
      <c r="T951" t="s">
        <v>42</v>
      </c>
      <c r="U951" t="s">
        <v>1082</v>
      </c>
      <c r="V951" t="s">
        <v>1068</v>
      </c>
      <c r="W951" t="s">
        <v>1082</v>
      </c>
      <c r="X951" t="s">
        <v>824</v>
      </c>
      <c r="Y951" t="s">
        <v>1066</v>
      </c>
      <c r="Z951" t="s">
        <v>47</v>
      </c>
      <c r="AA951"/>
      <c r="AB951"/>
      <c r="AC951"/>
      <c r="AD951" t="s">
        <v>638</v>
      </c>
    </row>
    <row r="952" spans="1:30">
      <c r="A952">
        <v>3110110088</v>
      </c>
      <c r="B952" t="s">
        <v>30</v>
      </c>
      <c r="C952" t="s">
        <v>61</v>
      </c>
      <c r="D952" t="s">
        <v>62</v>
      </c>
      <c r="E952" t="s">
        <v>48</v>
      </c>
      <c r="F952" t="s">
        <v>48</v>
      </c>
      <c r="G952" t="s">
        <v>646</v>
      </c>
      <c r="H952" t="s">
        <v>50</v>
      </c>
      <c r="I952" t="s">
        <v>100</v>
      </c>
      <c r="J952" t="s">
        <v>59</v>
      </c>
      <c r="K952" t="str">
        <f>"na"</f>
        <v>0</v>
      </c>
      <c r="L952">
        <v>30000</v>
      </c>
      <c r="M952"/>
      <c r="N952" t="s">
        <v>38</v>
      </c>
      <c r="O952" t="s">
        <v>38</v>
      </c>
      <c r="P952" t="s">
        <v>53</v>
      </c>
      <c r="Q952" t="s">
        <v>38</v>
      </c>
      <c r="R952" t="s">
        <v>38</v>
      </c>
      <c r="S952" t="s">
        <v>42</v>
      </c>
      <c r="T952" t="s">
        <v>42</v>
      </c>
      <c r="U952" t="s">
        <v>1082</v>
      </c>
      <c r="V952" t="s">
        <v>636</v>
      </c>
      <c r="W952" t="s">
        <v>1082</v>
      </c>
      <c r="X952" t="s">
        <v>824</v>
      </c>
      <c r="Y952" t="s">
        <v>1066</v>
      </c>
      <c r="Z952" t="s">
        <v>47</v>
      </c>
      <c r="AA952"/>
      <c r="AB952"/>
      <c r="AC952"/>
      <c r="AD952" t="s">
        <v>710</v>
      </c>
    </row>
    <row r="953" spans="1:30">
      <c r="A953">
        <v>4110050030</v>
      </c>
      <c r="B953" t="s">
        <v>30</v>
      </c>
      <c r="C953" t="s">
        <v>88</v>
      </c>
      <c r="D953" t="s">
        <v>165</v>
      </c>
      <c r="E953" t="s">
        <v>494</v>
      </c>
      <c r="F953" t="s">
        <v>48</v>
      </c>
      <c r="G953" t="s">
        <v>136</v>
      </c>
      <c r="H953" t="s">
        <v>50</v>
      </c>
      <c r="I953" t="s">
        <v>258</v>
      </c>
      <c r="J953" t="s">
        <v>1083</v>
      </c>
      <c r="K953" t="str">
        <f>"beo581e0100b29760188"</f>
        <v>0</v>
      </c>
      <c r="L953">
        <v>103449</v>
      </c>
      <c r="M953"/>
      <c r="N953" t="s">
        <v>38</v>
      </c>
      <c r="O953" t="s">
        <v>38</v>
      </c>
      <c r="P953" t="s">
        <v>53</v>
      </c>
      <c r="Q953" t="s">
        <v>38</v>
      </c>
      <c r="R953" t="s">
        <v>38</v>
      </c>
      <c r="S953" t="s">
        <v>42</v>
      </c>
      <c r="T953" t="s">
        <v>42</v>
      </c>
      <c r="U953" t="s">
        <v>1082</v>
      </c>
      <c r="V953" t="s">
        <v>1068</v>
      </c>
      <c r="W953" t="s">
        <v>1082</v>
      </c>
      <c r="X953" t="s">
        <v>824</v>
      </c>
      <c r="Y953" t="s">
        <v>1066</v>
      </c>
      <c r="Z953" t="s">
        <v>47</v>
      </c>
      <c r="AA953"/>
      <c r="AB953"/>
      <c r="AC953"/>
      <c r="AD953" t="s">
        <v>638</v>
      </c>
    </row>
    <row r="954" spans="1:30">
      <c r="A954">
        <v>4110050031</v>
      </c>
      <c r="B954" t="s">
        <v>30</v>
      </c>
      <c r="C954" t="s">
        <v>88</v>
      </c>
      <c r="D954" t="s">
        <v>165</v>
      </c>
      <c r="E954" t="s">
        <v>494</v>
      </c>
      <c r="F954" t="s">
        <v>48</v>
      </c>
      <c r="G954" t="s">
        <v>136</v>
      </c>
      <c r="H954" t="s">
        <v>50</v>
      </c>
      <c r="I954" t="s">
        <v>254</v>
      </c>
      <c r="J954" t="s">
        <v>1084</v>
      </c>
      <c r="K954" t="str">
        <f>"20160346331"</f>
        <v>0</v>
      </c>
      <c r="L954">
        <v>350000</v>
      </c>
      <c r="M954"/>
      <c r="N954" t="s">
        <v>38</v>
      </c>
      <c r="O954" t="s">
        <v>38</v>
      </c>
      <c r="P954" t="s">
        <v>53</v>
      </c>
      <c r="Q954" t="s">
        <v>38</v>
      </c>
      <c r="R954" t="s">
        <v>38</v>
      </c>
      <c r="S954" t="s">
        <v>42</v>
      </c>
      <c r="T954" t="s">
        <v>42</v>
      </c>
      <c r="U954" t="s">
        <v>1082</v>
      </c>
      <c r="V954" t="s">
        <v>1068</v>
      </c>
      <c r="W954" t="s">
        <v>1082</v>
      </c>
      <c r="X954" t="s">
        <v>824</v>
      </c>
      <c r="Y954" t="s">
        <v>1066</v>
      </c>
      <c r="Z954" t="s">
        <v>47</v>
      </c>
      <c r="AA954"/>
      <c r="AB954"/>
      <c r="AC954"/>
      <c r="AD954" t="s">
        <v>638</v>
      </c>
    </row>
    <row r="955" spans="1:30">
      <c r="A955">
        <v>4110050033</v>
      </c>
      <c r="B955" t="s">
        <v>30</v>
      </c>
      <c r="C955" t="s">
        <v>88</v>
      </c>
      <c r="D955" t="s">
        <v>165</v>
      </c>
      <c r="E955" t="s">
        <v>494</v>
      </c>
      <c r="F955" t="s">
        <v>48</v>
      </c>
      <c r="G955" t="s">
        <v>280</v>
      </c>
      <c r="H955" t="s">
        <v>50</v>
      </c>
      <c r="I955" t="s">
        <v>258</v>
      </c>
      <c r="J955" t="s">
        <v>1085</v>
      </c>
      <c r="K955" t="str">
        <f>"be04g0gas00oeh9c0027"</f>
        <v>0</v>
      </c>
      <c r="L955">
        <v>105340</v>
      </c>
      <c r="M955"/>
      <c r="N955" t="s">
        <v>38</v>
      </c>
      <c r="O955" t="s">
        <v>38</v>
      </c>
      <c r="P955" t="s">
        <v>53</v>
      </c>
      <c r="Q955" t="s">
        <v>38</v>
      </c>
      <c r="R955" t="s">
        <v>38</v>
      </c>
      <c r="S955" t="s">
        <v>42</v>
      </c>
      <c r="T955" t="s">
        <v>42</v>
      </c>
      <c r="U955" t="s">
        <v>1082</v>
      </c>
      <c r="V955" t="s">
        <v>1068</v>
      </c>
      <c r="W955" t="s">
        <v>1082</v>
      </c>
      <c r="X955" t="s">
        <v>824</v>
      </c>
      <c r="Y955" t="s">
        <v>1066</v>
      </c>
      <c r="Z955" t="s">
        <v>47</v>
      </c>
      <c r="AA955"/>
      <c r="AB955"/>
      <c r="AC955"/>
      <c r="AD955" t="s">
        <v>638</v>
      </c>
    </row>
    <row r="956" spans="1:30">
      <c r="A956">
        <v>4110050032</v>
      </c>
      <c r="B956" t="s">
        <v>30</v>
      </c>
      <c r="C956" t="s">
        <v>88</v>
      </c>
      <c r="D956" t="s">
        <v>165</v>
      </c>
      <c r="E956" t="s">
        <v>494</v>
      </c>
      <c r="F956" t="s">
        <v>48</v>
      </c>
      <c r="G956" t="s">
        <v>280</v>
      </c>
      <c r="H956" t="s">
        <v>50</v>
      </c>
      <c r="I956" t="s">
        <v>254</v>
      </c>
      <c r="J956" t="s">
        <v>1086</v>
      </c>
      <c r="K956" t="str">
        <f>"84909162"</f>
        <v>0</v>
      </c>
      <c r="L956">
        <v>105340</v>
      </c>
      <c r="M956"/>
      <c r="N956" t="s">
        <v>38</v>
      </c>
      <c r="O956" t="s">
        <v>38</v>
      </c>
      <c r="P956" t="s">
        <v>53</v>
      </c>
      <c r="Q956" t="s">
        <v>38</v>
      </c>
      <c r="R956" t="s">
        <v>38</v>
      </c>
      <c r="S956" t="s">
        <v>42</v>
      </c>
      <c r="T956" t="s">
        <v>42</v>
      </c>
      <c r="U956" t="s">
        <v>1082</v>
      </c>
      <c r="V956" t="s">
        <v>1068</v>
      </c>
      <c r="W956" t="s">
        <v>1082</v>
      </c>
      <c r="X956" t="s">
        <v>824</v>
      </c>
      <c r="Y956" t="s">
        <v>1066</v>
      </c>
      <c r="Z956" t="s">
        <v>47</v>
      </c>
      <c r="AA956"/>
      <c r="AB956"/>
      <c r="AC956"/>
      <c r="AD956" t="s">
        <v>638</v>
      </c>
    </row>
    <row r="957" spans="1:30">
      <c r="A957">
        <v>3110110100</v>
      </c>
      <c r="B957" t="s">
        <v>30</v>
      </c>
      <c r="C957" t="s">
        <v>61</v>
      </c>
      <c r="D957" t="s">
        <v>62</v>
      </c>
      <c r="E957" t="s">
        <v>79</v>
      </c>
      <c r="F957" t="s">
        <v>113</v>
      </c>
      <c r="G957" t="s">
        <v>114</v>
      </c>
      <c r="H957" t="s">
        <v>35</v>
      </c>
      <c r="I957" t="s">
        <v>115</v>
      </c>
      <c r="J957" t="s">
        <v>1087</v>
      </c>
      <c r="K957" t="str">
        <f>"ASG-L1508193"</f>
        <v>0</v>
      </c>
      <c r="L957">
        <v>79420</v>
      </c>
      <c r="M957"/>
      <c r="N957" t="s">
        <v>38</v>
      </c>
      <c r="O957" t="s">
        <v>38</v>
      </c>
      <c r="P957" t="s">
        <v>53</v>
      </c>
      <c r="Q957" t="s">
        <v>38</v>
      </c>
      <c r="R957" t="s">
        <v>38</v>
      </c>
      <c r="S957" t="s">
        <v>42</v>
      </c>
      <c r="T957" t="s">
        <v>42</v>
      </c>
      <c r="U957" t="s">
        <v>1082</v>
      </c>
      <c r="V957" t="s">
        <v>636</v>
      </c>
      <c r="W957" t="s">
        <v>1082</v>
      </c>
      <c r="X957" t="s">
        <v>824</v>
      </c>
      <c r="Y957" t="s">
        <v>1066</v>
      </c>
      <c r="Z957" t="s">
        <v>47</v>
      </c>
      <c r="AA957"/>
      <c r="AB957"/>
      <c r="AC957"/>
      <c r="AD957" t="s">
        <v>638</v>
      </c>
    </row>
    <row r="958" spans="1:30">
      <c r="A958">
        <v>3110110101</v>
      </c>
      <c r="B958" t="s">
        <v>30</v>
      </c>
      <c r="C958" t="s">
        <v>61</v>
      </c>
      <c r="D958" t="s">
        <v>62</v>
      </c>
      <c r="E958" t="s">
        <v>79</v>
      </c>
      <c r="F958" t="s">
        <v>143</v>
      </c>
      <c r="G958" t="s">
        <v>377</v>
      </c>
      <c r="H958" t="s">
        <v>50</v>
      </c>
      <c r="I958" t="s">
        <v>100</v>
      </c>
      <c r="J958" t="s">
        <v>315</v>
      </c>
      <c r="K958" t="str">
        <f>"na"</f>
        <v>0</v>
      </c>
      <c r="L958">
        <v>30000</v>
      </c>
      <c r="M958"/>
      <c r="N958" t="s">
        <v>38</v>
      </c>
      <c r="O958" t="s">
        <v>38</v>
      </c>
      <c r="P958" t="s">
        <v>53</v>
      </c>
      <c r="Q958" t="s">
        <v>38</v>
      </c>
      <c r="R958" t="s">
        <v>38</v>
      </c>
      <c r="S958" t="s">
        <v>42</v>
      </c>
      <c r="T958" t="s">
        <v>42</v>
      </c>
      <c r="U958" t="s">
        <v>1082</v>
      </c>
      <c r="V958" t="s">
        <v>636</v>
      </c>
      <c r="W958" t="s">
        <v>1082</v>
      </c>
      <c r="X958" t="s">
        <v>824</v>
      </c>
      <c r="Y958" t="s">
        <v>1066</v>
      </c>
      <c r="Z958" t="s">
        <v>47</v>
      </c>
      <c r="AA958"/>
      <c r="AB958"/>
      <c r="AC958"/>
      <c r="AD958" t="s">
        <v>638</v>
      </c>
    </row>
    <row r="959" spans="1:30">
      <c r="A959">
        <v>3110110102</v>
      </c>
      <c r="B959" t="s">
        <v>30</v>
      </c>
      <c r="C959" t="s">
        <v>61</v>
      </c>
      <c r="D959" t="s">
        <v>62</v>
      </c>
      <c r="E959" t="s">
        <v>79</v>
      </c>
      <c r="F959" t="s">
        <v>143</v>
      </c>
      <c r="G959" t="s">
        <v>377</v>
      </c>
      <c r="H959" t="s">
        <v>50</v>
      </c>
      <c r="I959" t="s">
        <v>100</v>
      </c>
      <c r="J959" t="s">
        <v>315</v>
      </c>
      <c r="K959" t="str">
        <f>"na"</f>
        <v>0</v>
      </c>
      <c r="L959">
        <v>30000</v>
      </c>
      <c r="M959"/>
      <c r="N959" t="s">
        <v>38</v>
      </c>
      <c r="O959" t="s">
        <v>38</v>
      </c>
      <c r="P959" t="s">
        <v>53</v>
      </c>
      <c r="Q959" t="s">
        <v>38</v>
      </c>
      <c r="R959" t="s">
        <v>38</v>
      </c>
      <c r="S959" t="s">
        <v>42</v>
      </c>
      <c r="T959" t="s">
        <v>42</v>
      </c>
      <c r="U959" t="s">
        <v>1082</v>
      </c>
      <c r="V959" t="s">
        <v>636</v>
      </c>
      <c r="W959" t="s">
        <v>1082</v>
      </c>
      <c r="X959" t="s">
        <v>824</v>
      </c>
      <c r="Y959" t="s">
        <v>1066</v>
      </c>
      <c r="Z959" t="s">
        <v>47</v>
      </c>
      <c r="AA959"/>
      <c r="AB959"/>
      <c r="AC959"/>
      <c r="AD959" t="s">
        <v>638</v>
      </c>
    </row>
    <row r="960" spans="1:30">
      <c r="A960">
        <v>3110110115</v>
      </c>
      <c r="B960" t="s">
        <v>30</v>
      </c>
      <c r="C960" t="s">
        <v>61</v>
      </c>
      <c r="D960" t="s">
        <v>62</v>
      </c>
      <c r="E960" t="s">
        <v>552</v>
      </c>
      <c r="F960" t="s">
        <v>64</v>
      </c>
      <c r="G960" t="s">
        <v>553</v>
      </c>
      <c r="H960" t="s">
        <v>50</v>
      </c>
      <c r="I960" t="s">
        <v>554</v>
      </c>
      <c r="J960" t="s">
        <v>1088</v>
      </c>
      <c r="K960" t="str">
        <f>"na"</f>
        <v>0</v>
      </c>
      <c r="L960">
        <v>333000</v>
      </c>
      <c r="M960"/>
      <c r="N960" t="s">
        <v>38</v>
      </c>
      <c r="O960" t="s">
        <v>38</v>
      </c>
      <c r="P960" t="s">
        <v>53</v>
      </c>
      <c r="Q960" t="s">
        <v>38</v>
      </c>
      <c r="R960" t="s">
        <v>38</v>
      </c>
      <c r="S960" t="s">
        <v>42</v>
      </c>
      <c r="T960" t="s">
        <v>42</v>
      </c>
      <c r="U960" t="s">
        <v>1082</v>
      </c>
      <c r="V960" t="s">
        <v>636</v>
      </c>
      <c r="W960" t="s">
        <v>1082</v>
      </c>
      <c r="X960" t="s">
        <v>45</v>
      </c>
      <c r="Y960" t="s">
        <v>1066</v>
      </c>
      <c r="Z960" t="s">
        <v>47</v>
      </c>
      <c r="AA960"/>
      <c r="AB960"/>
      <c r="AC960"/>
      <c r="AD960" t="s">
        <v>638</v>
      </c>
    </row>
    <row r="961" spans="1:30">
      <c r="A961">
        <v>3110110116</v>
      </c>
      <c r="B961" t="s">
        <v>30</v>
      </c>
      <c r="C961" t="s">
        <v>61</v>
      </c>
      <c r="D961" t="s">
        <v>62</v>
      </c>
      <c r="E961" t="s">
        <v>552</v>
      </c>
      <c r="F961" t="s">
        <v>64</v>
      </c>
      <c r="G961" t="s">
        <v>553</v>
      </c>
      <c r="H961" t="s">
        <v>50</v>
      </c>
      <c r="I961" t="s">
        <v>554</v>
      </c>
      <c r="J961" t="s">
        <v>1088</v>
      </c>
      <c r="K961" t="str">
        <f>"na"</f>
        <v>0</v>
      </c>
      <c r="L961">
        <v>333000</v>
      </c>
      <c r="M961"/>
      <c r="N961" t="s">
        <v>38</v>
      </c>
      <c r="O961" t="s">
        <v>38</v>
      </c>
      <c r="P961" t="s">
        <v>53</v>
      </c>
      <c r="Q961" t="s">
        <v>38</v>
      </c>
      <c r="R961" t="s">
        <v>38</v>
      </c>
      <c r="S961" t="s">
        <v>42</v>
      </c>
      <c r="T961" t="s">
        <v>42</v>
      </c>
      <c r="U961" t="s">
        <v>1082</v>
      </c>
      <c r="V961" t="s">
        <v>636</v>
      </c>
      <c r="W961" t="s">
        <v>1082</v>
      </c>
      <c r="X961" t="s">
        <v>45</v>
      </c>
      <c r="Y961" t="s">
        <v>1066</v>
      </c>
      <c r="Z961" t="s">
        <v>47</v>
      </c>
      <c r="AA961"/>
      <c r="AB961"/>
      <c r="AC961" t="s">
        <v>318</v>
      </c>
      <c r="AD961"/>
    </row>
    <row r="962" spans="1:30">
      <c r="A962">
        <v>4110030001</v>
      </c>
      <c r="B962" t="s">
        <v>30</v>
      </c>
      <c r="C962" t="s">
        <v>88</v>
      </c>
      <c r="D962" t="s">
        <v>89</v>
      </c>
      <c r="E962" t="s">
        <v>509</v>
      </c>
      <c r="F962" t="s">
        <v>64</v>
      </c>
      <c r="G962" t="s">
        <v>99</v>
      </c>
      <c r="H962" t="s">
        <v>50</v>
      </c>
      <c r="I962" t="s">
        <v>417</v>
      </c>
      <c r="J962" t="s">
        <v>797</v>
      </c>
      <c r="K962" t="str">
        <f>"210500170"</f>
        <v>0</v>
      </c>
      <c r="L962">
        <v>38047</v>
      </c>
      <c r="M962"/>
      <c r="N962" t="s">
        <v>38</v>
      </c>
      <c r="O962" t="s">
        <v>38</v>
      </c>
      <c r="P962" t="s">
        <v>53</v>
      </c>
      <c r="Q962" t="s">
        <v>38</v>
      </c>
      <c r="R962" t="s">
        <v>38</v>
      </c>
      <c r="S962" t="s">
        <v>42</v>
      </c>
      <c r="T962" t="s">
        <v>42</v>
      </c>
      <c r="U962" t="s">
        <v>1082</v>
      </c>
      <c r="V962" t="s">
        <v>1068</v>
      </c>
      <c r="W962" t="s">
        <v>1082</v>
      </c>
      <c r="X962" t="s">
        <v>45</v>
      </c>
      <c r="Y962" t="s">
        <v>1089</v>
      </c>
      <c r="Z962" t="s">
        <v>47</v>
      </c>
      <c r="AA962"/>
      <c r="AB962"/>
      <c r="AC962"/>
      <c r="AD962" t="s">
        <v>638</v>
      </c>
    </row>
    <row r="963" spans="1:30">
      <c r="A963">
        <v>4110030003</v>
      </c>
      <c r="B963" t="s">
        <v>30</v>
      </c>
      <c r="C963" t="s">
        <v>88</v>
      </c>
      <c r="D963" t="s">
        <v>89</v>
      </c>
      <c r="E963" t="s">
        <v>509</v>
      </c>
      <c r="F963" t="s">
        <v>64</v>
      </c>
      <c r="G963" t="s">
        <v>99</v>
      </c>
      <c r="H963" t="s">
        <v>50</v>
      </c>
      <c r="I963" t="s">
        <v>417</v>
      </c>
      <c r="J963" t="s">
        <v>797</v>
      </c>
      <c r="K963" t="str">
        <f>"210500938"</f>
        <v>0</v>
      </c>
      <c r="L963">
        <v>38047</v>
      </c>
      <c r="M963"/>
      <c r="N963" t="s">
        <v>38</v>
      </c>
      <c r="O963" t="s">
        <v>38</v>
      </c>
      <c r="P963" t="s">
        <v>53</v>
      </c>
      <c r="Q963" t="s">
        <v>38</v>
      </c>
      <c r="R963" t="s">
        <v>38</v>
      </c>
      <c r="S963" t="s">
        <v>42</v>
      </c>
      <c r="T963" t="s">
        <v>42</v>
      </c>
      <c r="U963" t="s">
        <v>1082</v>
      </c>
      <c r="V963" t="s">
        <v>1068</v>
      </c>
      <c r="W963" t="s">
        <v>1082</v>
      </c>
      <c r="X963" t="s">
        <v>45</v>
      </c>
      <c r="Y963" t="s">
        <v>1089</v>
      </c>
      <c r="Z963" t="s">
        <v>47</v>
      </c>
      <c r="AA963"/>
      <c r="AB963"/>
      <c r="AC963"/>
      <c r="AD963" t="s">
        <v>638</v>
      </c>
    </row>
    <row r="964" spans="1:30">
      <c r="A964">
        <v>4110030002</v>
      </c>
      <c r="B964" t="s">
        <v>30</v>
      </c>
      <c r="C964" t="s">
        <v>88</v>
      </c>
      <c r="D964" t="s">
        <v>89</v>
      </c>
      <c r="E964" t="s">
        <v>509</v>
      </c>
      <c r="F964" t="s">
        <v>64</v>
      </c>
      <c r="G964" t="s">
        <v>99</v>
      </c>
      <c r="H964" t="s">
        <v>50</v>
      </c>
      <c r="I964" t="s">
        <v>417</v>
      </c>
      <c r="J964" t="s">
        <v>797</v>
      </c>
      <c r="K964" t="str">
        <f>"210500308"</f>
        <v>0</v>
      </c>
      <c r="L964">
        <v>38047</v>
      </c>
      <c r="M964"/>
      <c r="N964" t="s">
        <v>38</v>
      </c>
      <c r="O964" t="s">
        <v>38</v>
      </c>
      <c r="P964" t="s">
        <v>53</v>
      </c>
      <c r="Q964" t="s">
        <v>38</v>
      </c>
      <c r="R964" t="s">
        <v>38</v>
      </c>
      <c r="S964" t="s">
        <v>42</v>
      </c>
      <c r="T964" t="s">
        <v>42</v>
      </c>
      <c r="U964" t="s">
        <v>1082</v>
      </c>
      <c r="V964" t="s">
        <v>1068</v>
      </c>
      <c r="W964" t="s">
        <v>1082</v>
      </c>
      <c r="X964" t="s">
        <v>45</v>
      </c>
      <c r="Y964" t="s">
        <v>1089</v>
      </c>
      <c r="Z964" t="s">
        <v>47</v>
      </c>
      <c r="AA964"/>
      <c r="AB964"/>
      <c r="AC964"/>
      <c r="AD964" t="s">
        <v>638</v>
      </c>
    </row>
    <row r="965" spans="1:30">
      <c r="A965">
        <v>4110030004</v>
      </c>
      <c r="B965" t="s">
        <v>30</v>
      </c>
      <c r="C965" t="s">
        <v>88</v>
      </c>
      <c r="D965" t="s">
        <v>89</v>
      </c>
      <c r="E965" t="s">
        <v>509</v>
      </c>
      <c r="F965" t="s">
        <v>64</v>
      </c>
      <c r="G965" t="s">
        <v>99</v>
      </c>
      <c r="H965" t="s">
        <v>50</v>
      </c>
      <c r="I965" t="s">
        <v>102</v>
      </c>
      <c r="J965" t="s">
        <v>374</v>
      </c>
      <c r="K965" t="str">
        <f>"ma21050561666"</f>
        <v>0</v>
      </c>
      <c r="L965">
        <v>77650</v>
      </c>
      <c r="M965"/>
      <c r="N965" t="s">
        <v>38</v>
      </c>
      <c r="O965" t="s">
        <v>38</v>
      </c>
      <c r="P965" t="s">
        <v>53</v>
      </c>
      <c r="Q965" t="s">
        <v>38</v>
      </c>
      <c r="R965" t="s">
        <v>38</v>
      </c>
      <c r="S965" t="s">
        <v>42</v>
      </c>
      <c r="T965" t="s">
        <v>42</v>
      </c>
      <c r="U965" t="s">
        <v>1082</v>
      </c>
      <c r="V965" t="s">
        <v>1068</v>
      </c>
      <c r="W965" t="s">
        <v>1082</v>
      </c>
      <c r="X965" t="s">
        <v>45</v>
      </c>
      <c r="Y965" t="s">
        <v>1089</v>
      </c>
      <c r="Z965" t="s">
        <v>47</v>
      </c>
      <c r="AA965"/>
      <c r="AB965"/>
      <c r="AC965"/>
      <c r="AD965" t="s">
        <v>638</v>
      </c>
    </row>
    <row r="966" spans="1:30">
      <c r="A966">
        <v>4110030005</v>
      </c>
      <c r="B966" t="s">
        <v>30</v>
      </c>
      <c r="C966" t="s">
        <v>88</v>
      </c>
      <c r="D966" t="s">
        <v>89</v>
      </c>
      <c r="E966" t="s">
        <v>509</v>
      </c>
      <c r="F966" t="s">
        <v>64</v>
      </c>
      <c r="G966" t="s">
        <v>99</v>
      </c>
      <c r="H966" t="s">
        <v>50</v>
      </c>
      <c r="I966" t="s">
        <v>102</v>
      </c>
      <c r="J966" t="s">
        <v>374</v>
      </c>
      <c r="K966" t="str">
        <f>"ma21050561620"</f>
        <v>0</v>
      </c>
      <c r="L966">
        <v>77650</v>
      </c>
      <c r="M966"/>
      <c r="N966" t="s">
        <v>38</v>
      </c>
      <c r="O966" t="s">
        <v>38</v>
      </c>
      <c r="P966" t="s">
        <v>53</v>
      </c>
      <c r="Q966" t="s">
        <v>38</v>
      </c>
      <c r="R966" t="s">
        <v>38</v>
      </c>
      <c r="S966" t="s">
        <v>42</v>
      </c>
      <c r="T966" t="s">
        <v>42</v>
      </c>
      <c r="U966" t="s">
        <v>1082</v>
      </c>
      <c r="V966" t="s">
        <v>1068</v>
      </c>
      <c r="W966" t="s">
        <v>1082</v>
      </c>
      <c r="X966" t="s">
        <v>45</v>
      </c>
      <c r="Y966" t="s">
        <v>1089</v>
      </c>
      <c r="Z966" t="s">
        <v>47</v>
      </c>
      <c r="AA966"/>
      <c r="AB966"/>
      <c r="AC966"/>
      <c r="AD966" t="s">
        <v>638</v>
      </c>
    </row>
    <row r="967" spans="1:30">
      <c r="A967">
        <v>4110030008</v>
      </c>
      <c r="B967" t="s">
        <v>30</v>
      </c>
      <c r="C967" t="s">
        <v>88</v>
      </c>
      <c r="D967" t="s">
        <v>89</v>
      </c>
      <c r="E967" t="s">
        <v>48</v>
      </c>
      <c r="F967" t="s">
        <v>48</v>
      </c>
      <c r="G967" t="s">
        <v>620</v>
      </c>
      <c r="H967" t="s">
        <v>50</v>
      </c>
      <c r="I967" t="s">
        <v>621</v>
      </c>
      <c r="J967" t="s">
        <v>1090</v>
      </c>
      <c r="K967" t="str">
        <f>"c1703199"</f>
        <v>0</v>
      </c>
      <c r="L967">
        <v>100000</v>
      </c>
      <c r="M967"/>
      <c r="N967" t="s">
        <v>38</v>
      </c>
      <c r="O967" t="s">
        <v>38</v>
      </c>
      <c r="P967" t="s">
        <v>53</v>
      </c>
      <c r="Q967" t="s">
        <v>38</v>
      </c>
      <c r="R967" t="s">
        <v>38</v>
      </c>
      <c r="S967" t="s">
        <v>42</v>
      </c>
      <c r="T967" t="s">
        <v>42</v>
      </c>
      <c r="U967" t="s">
        <v>1082</v>
      </c>
      <c r="V967" t="s">
        <v>1068</v>
      </c>
      <c r="W967" t="s">
        <v>1082</v>
      </c>
      <c r="X967" t="s">
        <v>45</v>
      </c>
      <c r="Y967" t="s">
        <v>1089</v>
      </c>
      <c r="Z967" t="s">
        <v>47</v>
      </c>
      <c r="AA967"/>
      <c r="AB967"/>
      <c r="AC967"/>
      <c r="AD967" t="s">
        <v>638</v>
      </c>
    </row>
    <row r="968" spans="1:30">
      <c r="A968">
        <v>4110030009</v>
      </c>
      <c r="B968" t="s">
        <v>30</v>
      </c>
      <c r="C968" t="s">
        <v>88</v>
      </c>
      <c r="D968" t="s">
        <v>89</v>
      </c>
      <c r="E968" t="s">
        <v>48</v>
      </c>
      <c r="F968" t="s">
        <v>48</v>
      </c>
      <c r="G968" t="s">
        <v>203</v>
      </c>
      <c r="H968" t="s">
        <v>50</v>
      </c>
      <c r="I968" t="s">
        <v>1071</v>
      </c>
      <c r="J968" t="s">
        <v>1091</v>
      </c>
      <c r="K968" t="str">
        <f>"humlcc-174"</f>
        <v>0</v>
      </c>
      <c r="L968">
        <v>20000</v>
      </c>
      <c r="M968"/>
      <c r="N968" t="s">
        <v>38</v>
      </c>
      <c r="O968" t="s">
        <v>38</v>
      </c>
      <c r="P968" t="s">
        <v>53</v>
      </c>
      <c r="Q968" t="s">
        <v>38</v>
      </c>
      <c r="R968" t="s">
        <v>38</v>
      </c>
      <c r="S968" t="s">
        <v>42</v>
      </c>
      <c r="T968" t="s">
        <v>42</v>
      </c>
      <c r="U968" t="s">
        <v>1082</v>
      </c>
      <c r="V968" t="s">
        <v>1068</v>
      </c>
      <c r="W968" t="s">
        <v>1082</v>
      </c>
      <c r="X968" t="s">
        <v>45</v>
      </c>
      <c r="Y968" t="s">
        <v>1089</v>
      </c>
      <c r="Z968" t="s">
        <v>47</v>
      </c>
      <c r="AA968"/>
      <c r="AB968"/>
      <c r="AC968"/>
      <c r="AD968" t="s">
        <v>638</v>
      </c>
    </row>
    <row r="969" spans="1:30">
      <c r="A969">
        <v>4110030010</v>
      </c>
      <c r="B969" t="s">
        <v>30</v>
      </c>
      <c r="C969" t="s">
        <v>88</v>
      </c>
      <c r="D969" t="s">
        <v>89</v>
      </c>
      <c r="E969" t="s">
        <v>48</v>
      </c>
      <c r="F969" t="s">
        <v>48</v>
      </c>
      <c r="G969" t="s">
        <v>294</v>
      </c>
      <c r="H969" t="s">
        <v>50</v>
      </c>
      <c r="I969" t="s">
        <v>290</v>
      </c>
      <c r="J969" t="s">
        <v>1091</v>
      </c>
      <c r="K969" t="str">
        <f>"n/a"</f>
        <v>0</v>
      </c>
      <c r="L969">
        <v>15000</v>
      </c>
      <c r="M969"/>
      <c r="N969" t="s">
        <v>38</v>
      </c>
      <c r="O969" t="s">
        <v>38</v>
      </c>
      <c r="P969" t="s">
        <v>53</v>
      </c>
      <c r="Q969" t="s">
        <v>38</v>
      </c>
      <c r="R969" t="s">
        <v>38</v>
      </c>
      <c r="S969" t="s">
        <v>42</v>
      </c>
      <c r="T969" t="s">
        <v>42</v>
      </c>
      <c r="U969" t="s">
        <v>1082</v>
      </c>
      <c r="V969" t="s">
        <v>1068</v>
      </c>
      <c r="W969" t="s">
        <v>1082</v>
      </c>
      <c r="X969" t="s">
        <v>45</v>
      </c>
      <c r="Y969" t="s">
        <v>1089</v>
      </c>
      <c r="Z969" t="s">
        <v>47</v>
      </c>
      <c r="AA969"/>
      <c r="AB969"/>
      <c r="AC969"/>
      <c r="AD969" t="s">
        <v>638</v>
      </c>
    </row>
    <row r="970" spans="1:30">
      <c r="A970">
        <v>4110030014</v>
      </c>
      <c r="B970" t="s">
        <v>30</v>
      </c>
      <c r="C970" t="s">
        <v>88</v>
      </c>
      <c r="D970" t="s">
        <v>89</v>
      </c>
      <c r="E970" t="s">
        <v>842</v>
      </c>
      <c r="F970" t="s">
        <v>152</v>
      </c>
      <c r="G970" t="s">
        <v>723</v>
      </c>
      <c r="H970" t="s">
        <v>50</v>
      </c>
      <c r="I970" t="s">
        <v>912</v>
      </c>
      <c r="J970" t="s">
        <v>1092</v>
      </c>
      <c r="K970" t="str">
        <f>"M1309100"</f>
        <v>0</v>
      </c>
      <c r="L970">
        <v>94500</v>
      </c>
      <c r="M970"/>
      <c r="N970" t="s">
        <v>38</v>
      </c>
      <c r="O970" t="s">
        <v>38</v>
      </c>
      <c r="P970" t="s">
        <v>53</v>
      </c>
      <c r="Q970" t="s">
        <v>38</v>
      </c>
      <c r="R970" t="s">
        <v>38</v>
      </c>
      <c r="S970" t="s">
        <v>266</v>
      </c>
      <c r="T970" t="s">
        <v>266</v>
      </c>
      <c r="U970" t="s">
        <v>1082</v>
      </c>
      <c r="V970" t="s">
        <v>1068</v>
      </c>
      <c r="W970" t="s">
        <v>1082</v>
      </c>
      <c r="X970" t="s">
        <v>45</v>
      </c>
      <c r="Y970" t="s">
        <v>1089</v>
      </c>
      <c r="Z970" t="s">
        <v>70</v>
      </c>
      <c r="AA970"/>
      <c r="AB970"/>
      <c r="AC970"/>
      <c r="AD970" t="s">
        <v>638</v>
      </c>
    </row>
    <row r="971" spans="1:30">
      <c r="A971">
        <v>4110030015</v>
      </c>
      <c r="B971" t="s">
        <v>30</v>
      </c>
      <c r="C971" t="s">
        <v>88</v>
      </c>
      <c r="D971" t="s">
        <v>89</v>
      </c>
      <c r="E971" t="s">
        <v>842</v>
      </c>
      <c r="F971" t="s">
        <v>33</v>
      </c>
      <c r="G971" t="s">
        <v>843</v>
      </c>
      <c r="H971" t="s">
        <v>35</v>
      </c>
      <c r="I971" t="s">
        <v>962</v>
      </c>
      <c r="J971" t="s">
        <v>1074</v>
      </c>
      <c r="K971" t="str">
        <f>"96473503"</f>
        <v>0</v>
      </c>
      <c r="L971">
        <v>950000</v>
      </c>
      <c r="M971"/>
      <c r="N971" t="s">
        <v>38</v>
      </c>
      <c r="O971" t="s">
        <v>38</v>
      </c>
      <c r="P971" t="s">
        <v>53</v>
      </c>
      <c r="Q971" t="s">
        <v>38</v>
      </c>
      <c r="R971" t="s">
        <v>38</v>
      </c>
      <c r="S971" t="s">
        <v>42</v>
      </c>
      <c r="T971" t="s">
        <v>42</v>
      </c>
      <c r="U971" t="s">
        <v>1082</v>
      </c>
      <c r="V971" t="s">
        <v>1068</v>
      </c>
      <c r="W971" t="s">
        <v>1082</v>
      </c>
      <c r="X971" t="s">
        <v>45</v>
      </c>
      <c r="Y971" t="s">
        <v>1089</v>
      </c>
      <c r="Z971" t="s">
        <v>47</v>
      </c>
      <c r="AA971"/>
      <c r="AB971"/>
      <c r="AC971"/>
      <c r="AD971" t="s">
        <v>638</v>
      </c>
    </row>
    <row r="972" spans="1:30">
      <c r="A972">
        <v>4110030013</v>
      </c>
      <c r="B972" t="s">
        <v>30</v>
      </c>
      <c r="C972" t="s">
        <v>88</v>
      </c>
      <c r="D972" t="s">
        <v>89</v>
      </c>
      <c r="E972" t="s">
        <v>842</v>
      </c>
      <c r="F972" t="s">
        <v>33</v>
      </c>
      <c r="G972" t="s">
        <v>608</v>
      </c>
      <c r="H972" t="s">
        <v>35</v>
      </c>
      <c r="I972" t="s">
        <v>1093</v>
      </c>
      <c r="J972" t="s">
        <v>1094</v>
      </c>
      <c r="K972" t="str">
        <f>"v19205281"</f>
        <v>0</v>
      </c>
      <c r="L972">
        <v>420000</v>
      </c>
      <c r="M972"/>
      <c r="N972" t="s">
        <v>38</v>
      </c>
      <c r="O972" t="s">
        <v>38</v>
      </c>
      <c r="P972" t="s">
        <v>53</v>
      </c>
      <c r="Q972" t="s">
        <v>38</v>
      </c>
      <c r="R972" t="s">
        <v>38</v>
      </c>
      <c r="S972" t="s">
        <v>42</v>
      </c>
      <c r="T972" t="s">
        <v>42</v>
      </c>
      <c r="U972" t="s">
        <v>1082</v>
      </c>
      <c r="V972" t="s">
        <v>1068</v>
      </c>
      <c r="W972" t="s">
        <v>1082</v>
      </c>
      <c r="X972" t="s">
        <v>45</v>
      </c>
      <c r="Y972" t="s">
        <v>1089</v>
      </c>
      <c r="Z972" t="s">
        <v>47</v>
      </c>
      <c r="AA972"/>
      <c r="AB972"/>
      <c r="AC972"/>
      <c r="AD972" t="s">
        <v>638</v>
      </c>
    </row>
    <row r="973" spans="1:30">
      <c r="A973">
        <v>4110030016</v>
      </c>
      <c r="B973" t="s">
        <v>30</v>
      </c>
      <c r="C973" t="s">
        <v>88</v>
      </c>
      <c r="D973" t="s">
        <v>89</v>
      </c>
      <c r="E973" t="s">
        <v>658</v>
      </c>
      <c r="F973" t="s">
        <v>64</v>
      </c>
      <c r="G973" t="s">
        <v>99</v>
      </c>
      <c r="H973" t="s">
        <v>50</v>
      </c>
      <c r="I973" t="s">
        <v>408</v>
      </c>
      <c r="J973" t="s">
        <v>412</v>
      </c>
      <c r="K973" t="str">
        <f>"MZJ5D12264"</f>
        <v>0</v>
      </c>
      <c r="L973">
        <v>30300</v>
      </c>
      <c r="M973"/>
      <c r="N973" t="s">
        <v>38</v>
      </c>
      <c r="O973" t="s">
        <v>38</v>
      </c>
      <c r="P973" t="s">
        <v>53</v>
      </c>
      <c r="Q973" t="s">
        <v>38</v>
      </c>
      <c r="R973" t="s">
        <v>38</v>
      </c>
      <c r="S973" t="s">
        <v>42</v>
      </c>
      <c r="T973" t="s">
        <v>42</v>
      </c>
      <c r="U973" t="s">
        <v>1082</v>
      </c>
      <c r="V973" t="s">
        <v>1068</v>
      </c>
      <c r="W973" t="s">
        <v>1082</v>
      </c>
      <c r="X973" t="s">
        <v>45</v>
      </c>
      <c r="Y973" t="s">
        <v>1089</v>
      </c>
      <c r="Z973" t="s">
        <v>47</v>
      </c>
      <c r="AA973"/>
      <c r="AB973"/>
      <c r="AC973"/>
      <c r="AD973" t="s">
        <v>638</v>
      </c>
    </row>
    <row r="974" spans="1:30">
      <c r="A974">
        <v>4110030019</v>
      </c>
      <c r="B974" t="s">
        <v>30</v>
      </c>
      <c r="C974" t="s">
        <v>88</v>
      </c>
      <c r="D974" t="s">
        <v>89</v>
      </c>
      <c r="E974" t="s">
        <v>152</v>
      </c>
      <c r="F974" t="s">
        <v>152</v>
      </c>
      <c r="G974" t="s">
        <v>763</v>
      </c>
      <c r="H974" t="s">
        <v>50</v>
      </c>
      <c r="I974" t="s">
        <v>764</v>
      </c>
      <c r="J974" t="s">
        <v>1095</v>
      </c>
      <c r="K974" t="str">
        <f>"n/a"</f>
        <v>0</v>
      </c>
      <c r="L974">
        <v>323500</v>
      </c>
      <c r="M974"/>
      <c r="N974" t="s">
        <v>38</v>
      </c>
      <c r="O974" t="s">
        <v>38</v>
      </c>
      <c r="P974" t="s">
        <v>53</v>
      </c>
      <c r="Q974" t="s">
        <v>38</v>
      </c>
      <c r="R974" t="s">
        <v>38</v>
      </c>
      <c r="S974" t="s">
        <v>42</v>
      </c>
      <c r="T974" t="s">
        <v>42</v>
      </c>
      <c r="U974" t="s">
        <v>1082</v>
      </c>
      <c r="V974" t="s">
        <v>1068</v>
      </c>
      <c r="W974" t="s">
        <v>1082</v>
      </c>
      <c r="X974" t="s">
        <v>45</v>
      </c>
      <c r="Y974" t="s">
        <v>1089</v>
      </c>
      <c r="Z974" t="s">
        <v>47</v>
      </c>
      <c r="AA974"/>
      <c r="AB974"/>
      <c r="AC974"/>
      <c r="AD974" t="s">
        <v>638</v>
      </c>
    </row>
    <row r="975" spans="1:30">
      <c r="A975">
        <v>4110030024</v>
      </c>
      <c r="B975" t="s">
        <v>30</v>
      </c>
      <c r="C975" t="s">
        <v>88</v>
      </c>
      <c r="D975" t="s">
        <v>89</v>
      </c>
      <c r="E975" t="s">
        <v>79</v>
      </c>
      <c r="F975" t="s">
        <v>64</v>
      </c>
      <c r="G975" t="s">
        <v>99</v>
      </c>
      <c r="H975" t="s">
        <v>50</v>
      </c>
      <c r="I975" t="s">
        <v>375</v>
      </c>
      <c r="J975" t="s">
        <v>1096</v>
      </c>
      <c r="K975" t="str">
        <f>"V5147522"</f>
        <v>0</v>
      </c>
      <c r="L975">
        <v>36000</v>
      </c>
      <c r="M975"/>
      <c r="N975" t="s">
        <v>38</v>
      </c>
      <c r="O975" t="s">
        <v>38</v>
      </c>
      <c r="P975" t="s">
        <v>53</v>
      </c>
      <c r="Q975" t="s">
        <v>38</v>
      </c>
      <c r="R975" t="s">
        <v>38</v>
      </c>
      <c r="S975" t="s">
        <v>42</v>
      </c>
      <c r="T975" t="s">
        <v>42</v>
      </c>
      <c r="U975" t="s">
        <v>1082</v>
      </c>
      <c r="V975" t="s">
        <v>1068</v>
      </c>
      <c r="W975" t="s">
        <v>1082</v>
      </c>
      <c r="X975" t="s">
        <v>824</v>
      </c>
      <c r="Y975" t="s">
        <v>1089</v>
      </c>
      <c r="Z975" t="s">
        <v>47</v>
      </c>
      <c r="AA975"/>
      <c r="AB975"/>
      <c r="AC975"/>
      <c r="AD975" t="s">
        <v>638</v>
      </c>
    </row>
    <row r="976" spans="1:30">
      <c r="A976">
        <v>4110030025</v>
      </c>
      <c r="B976" t="s">
        <v>30</v>
      </c>
      <c r="C976" t="s">
        <v>88</v>
      </c>
      <c r="D976" t="s">
        <v>89</v>
      </c>
      <c r="E976" t="s">
        <v>79</v>
      </c>
      <c r="F976" t="s">
        <v>143</v>
      </c>
      <c r="G976" t="s">
        <v>377</v>
      </c>
      <c r="H976" t="s">
        <v>50</v>
      </c>
      <c r="I976" t="s">
        <v>375</v>
      </c>
      <c r="J976" t="s">
        <v>949</v>
      </c>
      <c r="K976" t="str">
        <f>"n/a"</f>
        <v>0</v>
      </c>
      <c r="L976">
        <v>30000</v>
      </c>
      <c r="M976"/>
      <c r="N976" t="s">
        <v>38</v>
      </c>
      <c r="O976" t="s">
        <v>38</v>
      </c>
      <c r="P976" t="s">
        <v>53</v>
      </c>
      <c r="Q976" t="s">
        <v>38</v>
      </c>
      <c r="R976" t="s">
        <v>38</v>
      </c>
      <c r="S976" t="s">
        <v>42</v>
      </c>
      <c r="T976" t="s">
        <v>42</v>
      </c>
      <c r="U976" t="s">
        <v>1082</v>
      </c>
      <c r="V976" t="s">
        <v>1068</v>
      </c>
      <c r="W976" t="s">
        <v>1082</v>
      </c>
      <c r="X976" t="s">
        <v>824</v>
      </c>
      <c r="Y976" t="s">
        <v>1089</v>
      </c>
      <c r="Z976" t="s">
        <v>47</v>
      </c>
      <c r="AA976"/>
      <c r="AB976"/>
      <c r="AC976"/>
      <c r="AD976" t="s">
        <v>638</v>
      </c>
    </row>
    <row r="977" spans="1:30">
      <c r="A977">
        <v>4110030026</v>
      </c>
      <c r="B977" t="s">
        <v>30</v>
      </c>
      <c r="C977" t="s">
        <v>88</v>
      </c>
      <c r="D977" t="s">
        <v>89</v>
      </c>
      <c r="E977" t="s">
        <v>79</v>
      </c>
      <c r="F977" t="s">
        <v>143</v>
      </c>
      <c r="G977" t="s">
        <v>377</v>
      </c>
      <c r="H977" t="s">
        <v>50</v>
      </c>
      <c r="I977" t="s">
        <v>375</v>
      </c>
      <c r="J977" t="s">
        <v>949</v>
      </c>
      <c r="K977" t="str">
        <f>"n/a"</f>
        <v>0</v>
      </c>
      <c r="L977">
        <v>30000</v>
      </c>
      <c r="M977"/>
      <c r="N977" t="s">
        <v>38</v>
      </c>
      <c r="O977" t="s">
        <v>38</v>
      </c>
      <c r="P977" t="s">
        <v>53</v>
      </c>
      <c r="Q977" t="s">
        <v>38</v>
      </c>
      <c r="R977" t="s">
        <v>38</v>
      </c>
      <c r="S977" t="s">
        <v>42</v>
      </c>
      <c r="T977" t="s">
        <v>42</v>
      </c>
      <c r="U977" t="s">
        <v>1082</v>
      </c>
      <c r="V977" t="s">
        <v>1068</v>
      </c>
      <c r="W977" t="s">
        <v>1082</v>
      </c>
      <c r="X977" t="s">
        <v>824</v>
      </c>
      <c r="Y977" t="s">
        <v>1089</v>
      </c>
      <c r="Z977" t="s">
        <v>47</v>
      </c>
      <c r="AA977"/>
      <c r="AB977"/>
      <c r="AC977"/>
      <c r="AD977" t="s">
        <v>638</v>
      </c>
    </row>
    <row r="978" spans="1:30">
      <c r="A978">
        <v>4110030028</v>
      </c>
      <c r="B978" t="s">
        <v>30</v>
      </c>
      <c r="C978" t="s">
        <v>88</v>
      </c>
      <c r="D978" t="s">
        <v>89</v>
      </c>
      <c r="E978" t="s">
        <v>79</v>
      </c>
      <c r="F978" t="s">
        <v>64</v>
      </c>
      <c r="G978" t="s">
        <v>99</v>
      </c>
      <c r="H978" t="s">
        <v>50</v>
      </c>
      <c r="I978" t="s">
        <v>417</v>
      </c>
      <c r="J978" t="s">
        <v>797</v>
      </c>
      <c r="K978" t="str">
        <f>"210502472"</f>
        <v>0</v>
      </c>
      <c r="L978">
        <v>38047</v>
      </c>
      <c r="M978"/>
      <c r="N978" t="s">
        <v>38</v>
      </c>
      <c r="O978" t="s">
        <v>38</v>
      </c>
      <c r="P978" t="s">
        <v>53</v>
      </c>
      <c r="Q978" t="s">
        <v>38</v>
      </c>
      <c r="R978" t="s">
        <v>38</v>
      </c>
      <c r="S978" t="s">
        <v>42</v>
      </c>
      <c r="T978" t="s">
        <v>42</v>
      </c>
      <c r="U978" t="s">
        <v>1082</v>
      </c>
      <c r="V978" t="s">
        <v>1068</v>
      </c>
      <c r="W978" t="s">
        <v>1082</v>
      </c>
      <c r="X978" t="s">
        <v>824</v>
      </c>
      <c r="Y978" t="s">
        <v>1089</v>
      </c>
      <c r="Z978" t="s">
        <v>47</v>
      </c>
      <c r="AA978"/>
      <c r="AB978"/>
      <c r="AC978"/>
      <c r="AD978" t="s">
        <v>638</v>
      </c>
    </row>
    <row r="979" spans="1:30">
      <c r="A979">
        <v>4110030027</v>
      </c>
      <c r="B979" t="s">
        <v>30</v>
      </c>
      <c r="C979" t="s">
        <v>88</v>
      </c>
      <c r="D979" t="s">
        <v>89</v>
      </c>
      <c r="E979" t="s">
        <v>79</v>
      </c>
      <c r="F979" t="s">
        <v>64</v>
      </c>
      <c r="G979" t="s">
        <v>476</v>
      </c>
      <c r="H979" t="s">
        <v>50</v>
      </c>
      <c r="I979" t="s">
        <v>375</v>
      </c>
      <c r="J979" t="s">
        <v>1097</v>
      </c>
      <c r="K979" t="str">
        <f>"n/a"</f>
        <v>0</v>
      </c>
      <c r="L979">
        <v>30000</v>
      </c>
      <c r="M979"/>
      <c r="N979" t="s">
        <v>38</v>
      </c>
      <c r="O979" t="s">
        <v>38</v>
      </c>
      <c r="P979" t="s">
        <v>53</v>
      </c>
      <c r="Q979" t="s">
        <v>38</v>
      </c>
      <c r="R979" t="s">
        <v>38</v>
      </c>
      <c r="S979" t="s">
        <v>42</v>
      </c>
      <c r="T979" t="s">
        <v>42</v>
      </c>
      <c r="U979" t="s">
        <v>1082</v>
      </c>
      <c r="V979" t="s">
        <v>1068</v>
      </c>
      <c r="W979" t="s">
        <v>1082</v>
      </c>
      <c r="X979" t="s">
        <v>824</v>
      </c>
      <c r="Y979" t="s">
        <v>1089</v>
      </c>
      <c r="Z979" t="s">
        <v>47</v>
      </c>
      <c r="AA979"/>
      <c r="AB979"/>
      <c r="AC979"/>
      <c r="AD979" t="s">
        <v>638</v>
      </c>
    </row>
    <row r="980" spans="1:30">
      <c r="A980">
        <v>4110030029</v>
      </c>
      <c r="B980" t="s">
        <v>30</v>
      </c>
      <c r="C980" t="s">
        <v>88</v>
      </c>
      <c r="D980" t="s">
        <v>89</v>
      </c>
      <c r="E980" t="s">
        <v>494</v>
      </c>
      <c r="F980" t="s">
        <v>48</v>
      </c>
      <c r="G980" t="s">
        <v>136</v>
      </c>
      <c r="H980" t="s">
        <v>50</v>
      </c>
      <c r="I980" t="s">
        <v>258</v>
      </c>
      <c r="J980" t="s">
        <v>1098</v>
      </c>
      <c r="K980" t="str">
        <f>"BE07G5EONO0B20540058"</f>
        <v>0</v>
      </c>
      <c r="L980">
        <v>103449</v>
      </c>
      <c r="M980"/>
      <c r="N980" t="s">
        <v>38</v>
      </c>
      <c r="O980" t="s">
        <v>38</v>
      </c>
      <c r="P980" t="s">
        <v>53</v>
      </c>
      <c r="Q980" t="s">
        <v>38</v>
      </c>
      <c r="R980" t="s">
        <v>38</v>
      </c>
      <c r="S980" t="s">
        <v>42</v>
      </c>
      <c r="T980" t="s">
        <v>42</v>
      </c>
      <c r="U980" t="s">
        <v>1082</v>
      </c>
      <c r="V980" t="s">
        <v>1068</v>
      </c>
      <c r="W980" t="s">
        <v>1082</v>
      </c>
      <c r="X980" t="s">
        <v>824</v>
      </c>
      <c r="Y980" t="s">
        <v>1089</v>
      </c>
      <c r="Z980" t="s">
        <v>47</v>
      </c>
      <c r="AA980"/>
      <c r="AB980"/>
      <c r="AC980"/>
      <c r="AD980" t="s">
        <v>638</v>
      </c>
    </row>
    <row r="981" spans="1:30">
      <c r="A981">
        <v>4110030030</v>
      </c>
      <c r="B981" t="s">
        <v>30</v>
      </c>
      <c r="C981" t="s">
        <v>88</v>
      </c>
      <c r="D981" t="s">
        <v>89</v>
      </c>
      <c r="E981" t="s">
        <v>494</v>
      </c>
      <c r="F981" t="s">
        <v>48</v>
      </c>
      <c r="G981" t="s">
        <v>280</v>
      </c>
      <c r="H981" t="s">
        <v>50</v>
      </c>
      <c r="I981" t="s">
        <v>258</v>
      </c>
      <c r="J981" t="s">
        <v>1099</v>
      </c>
      <c r="K981" t="str">
        <f>"BEO4F4F260OB2A5SOO20"</f>
        <v>0</v>
      </c>
      <c r="L981">
        <v>105340</v>
      </c>
      <c r="M981"/>
      <c r="N981" t="s">
        <v>38</v>
      </c>
      <c r="O981" t="s">
        <v>38</v>
      </c>
      <c r="P981" t="s">
        <v>53</v>
      </c>
      <c r="Q981" t="s">
        <v>38</v>
      </c>
      <c r="R981" t="s">
        <v>38</v>
      </c>
      <c r="S981" t="s">
        <v>42</v>
      </c>
      <c r="T981" t="s">
        <v>42</v>
      </c>
      <c r="U981" t="s">
        <v>1082</v>
      </c>
      <c r="V981" t="s">
        <v>1068</v>
      </c>
      <c r="W981" t="s">
        <v>1082</v>
      </c>
      <c r="X981" t="s">
        <v>824</v>
      </c>
      <c r="Y981" t="s">
        <v>1089</v>
      </c>
      <c r="Z981" t="s">
        <v>47</v>
      </c>
      <c r="AA981"/>
      <c r="AB981"/>
      <c r="AC981"/>
      <c r="AD981" t="s">
        <v>638</v>
      </c>
    </row>
    <row r="982" spans="1:30">
      <c r="A982">
        <v>4110030031</v>
      </c>
      <c r="B982" t="s">
        <v>30</v>
      </c>
      <c r="C982" t="s">
        <v>88</v>
      </c>
      <c r="D982" t="s">
        <v>89</v>
      </c>
      <c r="E982" t="s">
        <v>494</v>
      </c>
      <c r="F982" t="s">
        <v>48</v>
      </c>
      <c r="G982" t="s">
        <v>136</v>
      </c>
      <c r="H982" t="s">
        <v>50</v>
      </c>
      <c r="I982" t="s">
        <v>137</v>
      </c>
      <c r="J982" t="s">
        <v>1100</v>
      </c>
      <c r="K982" t="str">
        <f>"210500031mr00108"</f>
        <v>0</v>
      </c>
      <c r="L982">
        <v>135589</v>
      </c>
      <c r="M982"/>
      <c r="N982" t="s">
        <v>38</v>
      </c>
      <c r="O982" t="s">
        <v>38</v>
      </c>
      <c r="P982" t="s">
        <v>53</v>
      </c>
      <c r="Q982" t="s">
        <v>1101</v>
      </c>
      <c r="R982" t="s">
        <v>1102</v>
      </c>
      <c r="S982" t="s">
        <v>42</v>
      </c>
      <c r="T982" t="s">
        <v>42</v>
      </c>
      <c r="U982" t="s">
        <v>1082</v>
      </c>
      <c r="V982" t="s">
        <v>1068</v>
      </c>
      <c r="W982" t="s">
        <v>1082</v>
      </c>
      <c r="X982" t="s">
        <v>824</v>
      </c>
      <c r="Y982" t="s">
        <v>1089</v>
      </c>
      <c r="Z982" t="s">
        <v>47</v>
      </c>
      <c r="AA982"/>
      <c r="AB982"/>
      <c r="AC982"/>
      <c r="AD982" t="s">
        <v>638</v>
      </c>
    </row>
    <row r="983" spans="1:30">
      <c r="A983">
        <v>3110110030</v>
      </c>
      <c r="B983" t="s">
        <v>30</v>
      </c>
      <c r="C983" t="s">
        <v>61</v>
      </c>
      <c r="D983" t="s">
        <v>62</v>
      </c>
      <c r="E983" t="s">
        <v>55</v>
      </c>
      <c r="F983" t="s">
        <v>194</v>
      </c>
      <c r="G983" t="s">
        <v>195</v>
      </c>
      <c r="H983" t="s">
        <v>50</v>
      </c>
      <c r="I983" t="s">
        <v>1103</v>
      </c>
      <c r="J983" t="s">
        <v>1104</v>
      </c>
      <c r="K983" t="str">
        <f>"1704124.5SY02"</f>
        <v>0</v>
      </c>
      <c r="L983">
        <v>19752</v>
      </c>
      <c r="M983"/>
      <c r="N983" t="s">
        <v>38</v>
      </c>
      <c r="O983" t="s">
        <v>38</v>
      </c>
      <c r="P983" t="s">
        <v>53</v>
      </c>
      <c r="Q983" t="s">
        <v>38</v>
      </c>
      <c r="R983" t="s">
        <v>38</v>
      </c>
      <c r="S983" t="s">
        <v>42</v>
      </c>
      <c r="T983" t="s">
        <v>42</v>
      </c>
      <c r="U983" t="s">
        <v>1082</v>
      </c>
      <c r="V983" t="s">
        <v>636</v>
      </c>
      <c r="W983" t="s">
        <v>1082</v>
      </c>
      <c r="X983" t="s">
        <v>824</v>
      </c>
      <c r="Y983" t="s">
        <v>1053</v>
      </c>
      <c r="Z983" t="s">
        <v>47</v>
      </c>
      <c r="AA983"/>
      <c r="AB983"/>
      <c r="AC983"/>
      <c r="AD983" t="s">
        <v>638</v>
      </c>
    </row>
    <row r="984" spans="1:30">
      <c r="A984">
        <v>4110030033</v>
      </c>
      <c r="B984" t="s">
        <v>30</v>
      </c>
      <c r="C984" t="s">
        <v>88</v>
      </c>
      <c r="D984" t="s">
        <v>89</v>
      </c>
      <c r="E984" t="s">
        <v>104</v>
      </c>
      <c r="F984" t="s">
        <v>147</v>
      </c>
      <c r="G984" t="s">
        <v>148</v>
      </c>
      <c r="H984" t="s">
        <v>35</v>
      </c>
      <c r="I984" t="s">
        <v>149</v>
      </c>
      <c r="J984" t="s">
        <v>906</v>
      </c>
      <c r="K984" t="str">
        <f>"V301A1911015"</f>
        <v>0</v>
      </c>
      <c r="L984">
        <v>47952</v>
      </c>
      <c r="M984"/>
      <c r="N984" t="s">
        <v>38</v>
      </c>
      <c r="O984" t="s">
        <v>38</v>
      </c>
      <c r="P984" t="s">
        <v>53</v>
      </c>
      <c r="Q984" t="s">
        <v>38</v>
      </c>
      <c r="R984" t="s">
        <v>38</v>
      </c>
      <c r="S984" t="s">
        <v>42</v>
      </c>
      <c r="T984" t="s">
        <v>42</v>
      </c>
      <c r="U984" t="s">
        <v>1082</v>
      </c>
      <c r="V984" t="s">
        <v>1068</v>
      </c>
      <c r="W984" t="s">
        <v>1082</v>
      </c>
      <c r="X984" t="s">
        <v>824</v>
      </c>
      <c r="Y984" t="s">
        <v>1089</v>
      </c>
      <c r="Z984" t="s">
        <v>47</v>
      </c>
      <c r="AA984"/>
      <c r="AB984"/>
      <c r="AC984"/>
      <c r="AD984" t="s">
        <v>638</v>
      </c>
    </row>
    <row r="985" spans="1:30">
      <c r="A985">
        <v>4110020001</v>
      </c>
      <c r="B985" t="s">
        <v>30</v>
      </c>
      <c r="C985" t="s">
        <v>88</v>
      </c>
      <c r="D985" t="s">
        <v>111</v>
      </c>
      <c r="E985" t="s">
        <v>48</v>
      </c>
      <c r="F985" t="s">
        <v>48</v>
      </c>
      <c r="G985" t="s">
        <v>203</v>
      </c>
      <c r="H985" t="s">
        <v>50</v>
      </c>
      <c r="I985" t="s">
        <v>173</v>
      </c>
      <c r="J985" t="s">
        <v>1105</v>
      </c>
      <c r="K985" t="str">
        <f>"zfjn 33435"</f>
        <v>0</v>
      </c>
      <c r="L985">
        <v>36125</v>
      </c>
      <c r="M985"/>
      <c r="N985" t="s">
        <v>38</v>
      </c>
      <c r="O985" t="s">
        <v>38</v>
      </c>
      <c r="P985" t="s">
        <v>53</v>
      </c>
      <c r="Q985" t="s">
        <v>38</v>
      </c>
      <c r="R985" t="s">
        <v>38</v>
      </c>
      <c r="S985" t="s">
        <v>42</v>
      </c>
      <c r="T985" t="s">
        <v>42</v>
      </c>
      <c r="U985" t="s">
        <v>1106</v>
      </c>
      <c r="V985" t="s">
        <v>1068</v>
      </c>
      <c r="W985" t="s">
        <v>1106</v>
      </c>
      <c r="X985" t="s">
        <v>824</v>
      </c>
      <c r="Y985" t="s">
        <v>1107</v>
      </c>
      <c r="Z985" t="s">
        <v>47</v>
      </c>
      <c r="AA985"/>
      <c r="AB985"/>
      <c r="AC985"/>
      <c r="AD985" t="s">
        <v>638</v>
      </c>
    </row>
    <row r="986" spans="1:30">
      <c r="A986">
        <v>4110020002</v>
      </c>
      <c r="B986" t="s">
        <v>30</v>
      </c>
      <c r="C986" t="s">
        <v>88</v>
      </c>
      <c r="D986" t="s">
        <v>111</v>
      </c>
      <c r="E986" t="s">
        <v>48</v>
      </c>
      <c r="F986" t="s">
        <v>48</v>
      </c>
      <c r="G986" t="s">
        <v>453</v>
      </c>
      <c r="H986" t="s">
        <v>50</v>
      </c>
      <c r="I986" t="s">
        <v>454</v>
      </c>
      <c r="J986" t="s">
        <v>1108</v>
      </c>
      <c r="K986" t="str">
        <f>"s191069"</f>
        <v>0</v>
      </c>
      <c r="L986">
        <v>27991</v>
      </c>
      <c r="M986"/>
      <c r="N986" t="s">
        <v>38</v>
      </c>
      <c r="O986" t="s">
        <v>38</v>
      </c>
      <c r="P986" t="s">
        <v>53</v>
      </c>
      <c r="Q986" t="s">
        <v>38</v>
      </c>
      <c r="R986" t="s">
        <v>38</v>
      </c>
      <c r="S986" t="s">
        <v>42</v>
      </c>
      <c r="T986" t="s">
        <v>42</v>
      </c>
      <c r="U986" t="s">
        <v>1106</v>
      </c>
      <c r="V986" t="s">
        <v>1068</v>
      </c>
      <c r="W986" t="s">
        <v>1106</v>
      </c>
      <c r="X986" t="s">
        <v>824</v>
      </c>
      <c r="Y986" t="s">
        <v>1107</v>
      </c>
      <c r="Z986" t="s">
        <v>47</v>
      </c>
      <c r="AA986"/>
      <c r="AB986"/>
      <c r="AC986"/>
      <c r="AD986" t="s">
        <v>638</v>
      </c>
    </row>
    <row r="987" spans="1:30">
      <c r="A987">
        <v>4110020003</v>
      </c>
      <c r="B987" t="s">
        <v>30</v>
      </c>
      <c r="C987" t="s">
        <v>88</v>
      </c>
      <c r="D987" t="s">
        <v>111</v>
      </c>
      <c r="E987" t="s">
        <v>48</v>
      </c>
      <c r="F987" t="s">
        <v>48</v>
      </c>
      <c r="G987" t="s">
        <v>620</v>
      </c>
      <c r="H987" t="s">
        <v>50</v>
      </c>
      <c r="I987" t="s">
        <v>621</v>
      </c>
      <c r="J987" t="s">
        <v>1109</v>
      </c>
      <c r="K987" t="str">
        <f>"s 191069"</f>
        <v>0</v>
      </c>
      <c r="L987">
        <v>100000</v>
      </c>
      <c r="M987"/>
      <c r="N987" t="s">
        <v>38</v>
      </c>
      <c r="O987" t="s">
        <v>38</v>
      </c>
      <c r="P987" t="s">
        <v>53</v>
      </c>
      <c r="Q987" t="s">
        <v>38</v>
      </c>
      <c r="R987" t="s">
        <v>38</v>
      </c>
      <c r="S987" t="s">
        <v>42</v>
      </c>
      <c r="T987" t="s">
        <v>42</v>
      </c>
      <c r="U987" t="s">
        <v>1106</v>
      </c>
      <c r="V987" t="s">
        <v>1068</v>
      </c>
      <c r="W987" t="s">
        <v>1106</v>
      </c>
      <c r="X987" t="s">
        <v>824</v>
      </c>
      <c r="Y987" t="s">
        <v>1107</v>
      </c>
      <c r="Z987" t="s">
        <v>47</v>
      </c>
      <c r="AA987"/>
      <c r="AB987"/>
      <c r="AC987"/>
      <c r="AD987" t="s">
        <v>638</v>
      </c>
    </row>
    <row r="988" spans="1:30">
      <c r="A988">
        <v>4110020004</v>
      </c>
      <c r="B988" t="s">
        <v>30</v>
      </c>
      <c r="C988" t="s">
        <v>88</v>
      </c>
      <c r="D988" t="s">
        <v>111</v>
      </c>
      <c r="E988" t="s">
        <v>48</v>
      </c>
      <c r="F988" t="s">
        <v>48</v>
      </c>
      <c r="G988" t="s">
        <v>203</v>
      </c>
      <c r="H988" t="s">
        <v>50</v>
      </c>
      <c r="I988" t="s">
        <v>375</v>
      </c>
      <c r="J988" t="s">
        <v>949</v>
      </c>
      <c r="K988" t="str">
        <f>"n/a"</f>
        <v>0</v>
      </c>
      <c r="L988">
        <v>20000</v>
      </c>
      <c r="M988"/>
      <c r="N988" t="s">
        <v>38</v>
      </c>
      <c r="O988" t="s">
        <v>38</v>
      </c>
      <c r="P988" t="s">
        <v>53</v>
      </c>
      <c r="Q988" t="s">
        <v>38</v>
      </c>
      <c r="R988" t="s">
        <v>38</v>
      </c>
      <c r="S988" t="s">
        <v>42</v>
      </c>
      <c r="T988" t="s">
        <v>42</v>
      </c>
      <c r="U988" t="s">
        <v>1106</v>
      </c>
      <c r="V988" t="s">
        <v>1068</v>
      </c>
      <c r="W988" t="s">
        <v>1106</v>
      </c>
      <c r="X988" t="s">
        <v>824</v>
      </c>
      <c r="Y988" t="s">
        <v>1107</v>
      </c>
      <c r="Z988" t="s">
        <v>47</v>
      </c>
      <c r="AA988"/>
      <c r="AB988"/>
      <c r="AC988"/>
      <c r="AD988" t="s">
        <v>638</v>
      </c>
    </row>
    <row r="989" spans="1:30">
      <c r="A989">
        <v>4110010010</v>
      </c>
      <c r="B989" t="s">
        <v>30</v>
      </c>
      <c r="C989" t="s">
        <v>88</v>
      </c>
      <c r="D989" t="s">
        <v>244</v>
      </c>
      <c r="E989" t="s">
        <v>842</v>
      </c>
      <c r="F989" t="s">
        <v>33</v>
      </c>
      <c r="G989" t="s">
        <v>608</v>
      </c>
      <c r="H989" t="s">
        <v>35</v>
      </c>
      <c r="I989" t="s">
        <v>262</v>
      </c>
      <c r="J989" t="s">
        <v>852</v>
      </c>
      <c r="K989" t="str">
        <f>"0001210296"</f>
        <v>0</v>
      </c>
      <c r="L989">
        <v>131750</v>
      </c>
      <c r="M989"/>
      <c r="N989" t="s">
        <v>38</v>
      </c>
      <c r="O989" t="s">
        <v>38</v>
      </c>
      <c r="P989" t="s">
        <v>53</v>
      </c>
      <c r="Q989" t="s">
        <v>38</v>
      </c>
      <c r="R989" t="s">
        <v>38</v>
      </c>
      <c r="S989" t="s">
        <v>42</v>
      </c>
      <c r="T989" t="s">
        <v>42</v>
      </c>
      <c r="U989" t="s">
        <v>1106</v>
      </c>
      <c r="V989" t="s">
        <v>1110</v>
      </c>
      <c r="W989" t="s">
        <v>1106</v>
      </c>
      <c r="X989" t="s">
        <v>824</v>
      </c>
      <c r="Y989" t="s">
        <v>1107</v>
      </c>
      <c r="Z989" t="s">
        <v>47</v>
      </c>
      <c r="AA989"/>
      <c r="AB989"/>
      <c r="AC989"/>
      <c r="AD989"/>
    </row>
    <row r="990" spans="1:30">
      <c r="A990">
        <v>4110020005</v>
      </c>
      <c r="B990" t="s">
        <v>30</v>
      </c>
      <c r="C990" t="s">
        <v>88</v>
      </c>
      <c r="D990" t="s">
        <v>111</v>
      </c>
      <c r="E990" t="s">
        <v>48</v>
      </c>
      <c r="F990" t="s">
        <v>48</v>
      </c>
      <c r="G990" t="s">
        <v>431</v>
      </c>
      <c r="H990" t="s">
        <v>35</v>
      </c>
      <c r="I990" t="s">
        <v>432</v>
      </c>
      <c r="J990" t="s">
        <v>1111</v>
      </c>
      <c r="K990" t="str">
        <f>"0559"</f>
        <v>0</v>
      </c>
      <c r="L990">
        <v>327000</v>
      </c>
      <c r="M990"/>
      <c r="N990" t="s">
        <v>38</v>
      </c>
      <c r="O990" t="s">
        <v>38</v>
      </c>
      <c r="P990" t="s">
        <v>53</v>
      </c>
      <c r="Q990" t="s">
        <v>38</v>
      </c>
      <c r="R990" t="s">
        <v>38</v>
      </c>
      <c r="S990" t="s">
        <v>42</v>
      </c>
      <c r="T990" t="s">
        <v>42</v>
      </c>
      <c r="U990" t="s">
        <v>1106</v>
      </c>
      <c r="V990" t="s">
        <v>1068</v>
      </c>
      <c r="W990" t="s">
        <v>1106</v>
      </c>
      <c r="X990" t="s">
        <v>824</v>
      </c>
      <c r="Y990" t="s">
        <v>1107</v>
      </c>
      <c r="Z990" t="s">
        <v>47</v>
      </c>
      <c r="AA990"/>
      <c r="AB990"/>
      <c r="AC990"/>
      <c r="AD990" t="s">
        <v>638</v>
      </c>
    </row>
    <row r="991" spans="1:30">
      <c r="A991">
        <v>4110020007</v>
      </c>
      <c r="B991" t="s">
        <v>30</v>
      </c>
      <c r="C991" t="s">
        <v>88</v>
      </c>
      <c r="D991" t="s">
        <v>111</v>
      </c>
      <c r="E991" t="s">
        <v>48</v>
      </c>
      <c r="F991" t="s">
        <v>48</v>
      </c>
      <c r="G991" t="s">
        <v>620</v>
      </c>
      <c r="H991" t="s">
        <v>50</v>
      </c>
      <c r="I991" t="s">
        <v>621</v>
      </c>
      <c r="J991" t="s">
        <v>1112</v>
      </c>
      <c r="K991" t="str">
        <f>"c1603103"</f>
        <v>0</v>
      </c>
      <c r="L991">
        <v>100000</v>
      </c>
      <c r="M991"/>
      <c r="N991" t="s">
        <v>38</v>
      </c>
      <c r="O991" t="s">
        <v>38</v>
      </c>
      <c r="P991" t="s">
        <v>53</v>
      </c>
      <c r="Q991" t="s">
        <v>38</v>
      </c>
      <c r="R991" t="s">
        <v>38</v>
      </c>
      <c r="S991" t="s">
        <v>42</v>
      </c>
      <c r="T991" t="s">
        <v>42</v>
      </c>
      <c r="U991" t="s">
        <v>1106</v>
      </c>
      <c r="V991" t="s">
        <v>1068</v>
      </c>
      <c r="W991" t="s">
        <v>1106</v>
      </c>
      <c r="X991" t="s">
        <v>824</v>
      </c>
      <c r="Y991" t="s">
        <v>1107</v>
      </c>
      <c r="Z991" t="s">
        <v>47</v>
      </c>
      <c r="AA991"/>
      <c r="AB991"/>
      <c r="AC991"/>
      <c r="AD991" t="s">
        <v>638</v>
      </c>
    </row>
    <row r="992" spans="1:30">
      <c r="A992">
        <v>4110010011</v>
      </c>
      <c r="B992" t="s">
        <v>30</v>
      </c>
      <c r="C992" t="s">
        <v>88</v>
      </c>
      <c r="D992" t="s">
        <v>244</v>
      </c>
      <c r="E992" t="s">
        <v>842</v>
      </c>
      <c r="F992" t="s">
        <v>33</v>
      </c>
      <c r="G992" t="s">
        <v>843</v>
      </c>
      <c r="H992" t="s">
        <v>35</v>
      </c>
      <c r="I992" t="s">
        <v>962</v>
      </c>
      <c r="J992" t="s">
        <v>985</v>
      </c>
      <c r="K992" t="str">
        <f>"96744158"</f>
        <v>0</v>
      </c>
      <c r="L992">
        <v>950000</v>
      </c>
      <c r="M992"/>
      <c r="N992" t="s">
        <v>38</v>
      </c>
      <c r="O992" t="s">
        <v>38</v>
      </c>
      <c r="P992" t="s">
        <v>53</v>
      </c>
      <c r="Q992" t="s">
        <v>38</v>
      </c>
      <c r="R992" t="s">
        <v>38</v>
      </c>
      <c r="S992" t="s">
        <v>68</v>
      </c>
      <c r="T992" t="s">
        <v>42</v>
      </c>
      <c r="U992" t="s">
        <v>1106</v>
      </c>
      <c r="V992" t="s">
        <v>1110</v>
      </c>
      <c r="W992" t="s">
        <v>1106</v>
      </c>
      <c r="X992" t="s">
        <v>824</v>
      </c>
      <c r="Y992" t="s">
        <v>1107</v>
      </c>
      <c r="Z992" t="s">
        <v>47</v>
      </c>
      <c r="AA992"/>
      <c r="AB992"/>
      <c r="AC992"/>
      <c r="AD992"/>
    </row>
    <row r="993" spans="1:30">
      <c r="A993">
        <v>4110020009</v>
      </c>
      <c r="B993" t="s">
        <v>30</v>
      </c>
      <c r="C993" t="s">
        <v>88</v>
      </c>
      <c r="D993" t="s">
        <v>111</v>
      </c>
      <c r="E993" t="s">
        <v>842</v>
      </c>
      <c r="F993" t="s">
        <v>33</v>
      </c>
      <c r="G993" t="s">
        <v>850</v>
      </c>
      <c r="H993" t="s">
        <v>50</v>
      </c>
      <c r="I993" t="s">
        <v>262</v>
      </c>
      <c r="J993" t="s">
        <v>1002</v>
      </c>
      <c r="K993" t="str">
        <f>"2k121140033-x/hf"</f>
        <v>0</v>
      </c>
      <c r="L993">
        <v>853912</v>
      </c>
      <c r="M993"/>
      <c r="N993" t="s">
        <v>38</v>
      </c>
      <c r="O993" t="s">
        <v>38</v>
      </c>
      <c r="P993" t="s">
        <v>53</v>
      </c>
      <c r="Q993" t="s">
        <v>38</v>
      </c>
      <c r="R993" t="s">
        <v>38</v>
      </c>
      <c r="S993" t="s">
        <v>42</v>
      </c>
      <c r="T993" t="s">
        <v>42</v>
      </c>
      <c r="U993" t="s">
        <v>1106</v>
      </c>
      <c r="V993" t="s">
        <v>1068</v>
      </c>
      <c r="W993" t="s">
        <v>1106</v>
      </c>
      <c r="X993" t="s">
        <v>824</v>
      </c>
      <c r="Y993" t="s">
        <v>1107</v>
      </c>
      <c r="Z993" t="s">
        <v>47</v>
      </c>
      <c r="AA993"/>
      <c r="AB993"/>
      <c r="AC993"/>
      <c r="AD993" t="s">
        <v>638</v>
      </c>
    </row>
    <row r="994" spans="1:30">
      <c r="A994">
        <v>4110010012</v>
      </c>
      <c r="B994" t="s">
        <v>30</v>
      </c>
      <c r="C994" t="s">
        <v>88</v>
      </c>
      <c r="D994" t="s">
        <v>244</v>
      </c>
      <c r="E994" t="s">
        <v>842</v>
      </c>
      <c r="F994" t="s">
        <v>152</v>
      </c>
      <c r="G994" t="s">
        <v>723</v>
      </c>
      <c r="H994" t="s">
        <v>50</v>
      </c>
      <c r="I994" t="s">
        <v>1113</v>
      </c>
      <c r="J994" t="s">
        <v>1114</v>
      </c>
      <c r="K994" t="str">
        <f>"na"</f>
        <v>0</v>
      </c>
      <c r="L994">
        <v>73149</v>
      </c>
      <c r="M994"/>
      <c r="N994" t="s">
        <v>38</v>
      </c>
      <c r="O994" t="s">
        <v>38</v>
      </c>
      <c r="P994" t="s">
        <v>53</v>
      </c>
      <c r="Q994" t="s">
        <v>38</v>
      </c>
      <c r="R994" t="s">
        <v>38</v>
      </c>
      <c r="S994" t="s">
        <v>42</v>
      </c>
      <c r="T994" t="s">
        <v>42</v>
      </c>
      <c r="U994" t="s">
        <v>1106</v>
      </c>
      <c r="V994" t="s">
        <v>1110</v>
      </c>
      <c r="W994" t="s">
        <v>1106</v>
      </c>
      <c r="X994" t="s">
        <v>824</v>
      </c>
      <c r="Y994" t="s">
        <v>1107</v>
      </c>
      <c r="Z994" t="s">
        <v>47</v>
      </c>
      <c r="AA994"/>
      <c r="AB994"/>
      <c r="AC994" t="s">
        <v>1115</v>
      </c>
      <c r="AD994"/>
    </row>
    <row r="995" spans="1:30">
      <c r="A995">
        <v>4110020010</v>
      </c>
      <c r="B995" t="s">
        <v>30</v>
      </c>
      <c r="C995" t="s">
        <v>88</v>
      </c>
      <c r="D995" t="s">
        <v>111</v>
      </c>
      <c r="E995" t="s">
        <v>842</v>
      </c>
      <c r="F995" t="s">
        <v>33</v>
      </c>
      <c r="G995" t="s">
        <v>843</v>
      </c>
      <c r="H995" t="s">
        <v>35</v>
      </c>
      <c r="I995" t="s">
        <v>962</v>
      </c>
      <c r="J995" t="s">
        <v>1116</v>
      </c>
      <c r="K995" t="str">
        <f>"96573537"</f>
        <v>0</v>
      </c>
      <c r="L995">
        <v>950000</v>
      </c>
      <c r="M995"/>
      <c r="N995" t="s">
        <v>38</v>
      </c>
      <c r="O995" t="s">
        <v>38</v>
      </c>
      <c r="P995" t="s">
        <v>53</v>
      </c>
      <c r="Q995" t="s">
        <v>38</v>
      </c>
      <c r="R995" t="s">
        <v>38</v>
      </c>
      <c r="S995" t="s">
        <v>42</v>
      </c>
      <c r="T995" t="s">
        <v>42</v>
      </c>
      <c r="U995" t="s">
        <v>1106</v>
      </c>
      <c r="V995" t="s">
        <v>1068</v>
      </c>
      <c r="W995" t="s">
        <v>1106</v>
      </c>
      <c r="X995" t="s">
        <v>824</v>
      </c>
      <c r="Y995" t="s">
        <v>1107</v>
      </c>
      <c r="Z995" t="s">
        <v>47</v>
      </c>
      <c r="AA995"/>
      <c r="AB995"/>
      <c r="AC995"/>
      <c r="AD995" t="s">
        <v>638</v>
      </c>
    </row>
    <row r="996" spans="1:30">
      <c r="A996">
        <v>4110010013</v>
      </c>
      <c r="B996" t="s">
        <v>30</v>
      </c>
      <c r="C996" t="s">
        <v>88</v>
      </c>
      <c r="D996" t="s">
        <v>244</v>
      </c>
      <c r="E996" t="s">
        <v>842</v>
      </c>
      <c r="F996" t="s">
        <v>152</v>
      </c>
      <c r="G996" t="s">
        <v>723</v>
      </c>
      <c r="H996" t="s">
        <v>50</v>
      </c>
      <c r="I996" t="s">
        <v>1117</v>
      </c>
      <c r="J996" t="s">
        <v>59</v>
      </c>
      <c r="K996" t="str">
        <f>"na"</f>
        <v>0</v>
      </c>
      <c r="L996">
        <v>125000</v>
      </c>
      <c r="M996"/>
      <c r="N996" t="s">
        <v>38</v>
      </c>
      <c r="O996" t="s">
        <v>38</v>
      </c>
      <c r="P996" t="s">
        <v>53</v>
      </c>
      <c r="Q996" t="s">
        <v>38</v>
      </c>
      <c r="R996" t="s">
        <v>38</v>
      </c>
      <c r="S996" t="s">
        <v>266</v>
      </c>
      <c r="T996" t="s">
        <v>266</v>
      </c>
      <c r="U996" t="s">
        <v>1106</v>
      </c>
      <c r="V996" t="s">
        <v>1110</v>
      </c>
      <c r="W996" t="s">
        <v>1106</v>
      </c>
      <c r="X996" t="s">
        <v>824</v>
      </c>
      <c r="Y996" t="s">
        <v>1107</v>
      </c>
      <c r="Z996" t="s">
        <v>70</v>
      </c>
      <c r="AA996"/>
      <c r="AB996"/>
      <c r="AC996"/>
      <c r="AD996"/>
    </row>
    <row r="997" spans="1:30">
      <c r="A997">
        <v>4110010002</v>
      </c>
      <c r="B997" t="s">
        <v>30</v>
      </c>
      <c r="C997" t="s">
        <v>88</v>
      </c>
      <c r="D997" t="s">
        <v>244</v>
      </c>
      <c r="E997" t="s">
        <v>48</v>
      </c>
      <c r="F997" t="s">
        <v>48</v>
      </c>
      <c r="G997" t="s">
        <v>203</v>
      </c>
      <c r="H997" t="s">
        <v>50</v>
      </c>
      <c r="I997" t="s">
        <v>1118</v>
      </c>
      <c r="J997" t="s">
        <v>59</v>
      </c>
      <c r="K997" t="str">
        <f>"na"</f>
        <v>0</v>
      </c>
      <c r="L997">
        <v>20000</v>
      </c>
      <c r="M997"/>
      <c r="N997" t="s">
        <v>38</v>
      </c>
      <c r="O997" t="s">
        <v>38</v>
      </c>
      <c r="P997" t="s">
        <v>53</v>
      </c>
      <c r="Q997" t="s">
        <v>38</v>
      </c>
      <c r="R997" t="s">
        <v>38</v>
      </c>
      <c r="S997" t="s">
        <v>42</v>
      </c>
      <c r="T997" t="s">
        <v>42</v>
      </c>
      <c r="U997" t="s">
        <v>1106</v>
      </c>
      <c r="V997" t="s">
        <v>1110</v>
      </c>
      <c r="W997" t="s">
        <v>1106</v>
      </c>
      <c r="X997" t="s">
        <v>824</v>
      </c>
      <c r="Y997" t="s">
        <v>1107</v>
      </c>
      <c r="Z997" t="s">
        <v>47</v>
      </c>
      <c r="AA997"/>
      <c r="AB997"/>
      <c r="AC997"/>
      <c r="AD997"/>
    </row>
    <row r="998" spans="1:30">
      <c r="A998">
        <v>4110010003</v>
      </c>
      <c r="B998" t="s">
        <v>30</v>
      </c>
      <c r="C998" t="s">
        <v>88</v>
      </c>
      <c r="D998" t="s">
        <v>244</v>
      </c>
      <c r="E998" t="s">
        <v>48</v>
      </c>
      <c r="F998" t="s">
        <v>48</v>
      </c>
      <c r="G998" t="s">
        <v>620</v>
      </c>
      <c r="H998" t="s">
        <v>50</v>
      </c>
      <c r="I998" t="s">
        <v>621</v>
      </c>
      <c r="J998" t="s">
        <v>622</v>
      </c>
      <c r="K998" t="str">
        <f>"na"</f>
        <v>0</v>
      </c>
      <c r="L998">
        <v>100000</v>
      </c>
      <c r="M998"/>
      <c r="N998" t="s">
        <v>38</v>
      </c>
      <c r="O998" t="s">
        <v>38</v>
      </c>
      <c r="P998" t="s">
        <v>53</v>
      </c>
      <c r="Q998" t="s">
        <v>38</v>
      </c>
      <c r="R998" t="s">
        <v>38</v>
      </c>
      <c r="S998" t="s">
        <v>42</v>
      </c>
      <c r="T998" t="s">
        <v>42</v>
      </c>
      <c r="U998" t="s">
        <v>1106</v>
      </c>
      <c r="V998" t="s">
        <v>1110</v>
      </c>
      <c r="W998" t="s">
        <v>1106</v>
      </c>
      <c r="X998" t="s">
        <v>824</v>
      </c>
      <c r="Y998" t="s">
        <v>1107</v>
      </c>
      <c r="Z998" t="s">
        <v>47</v>
      </c>
      <c r="AA998"/>
      <c r="AB998"/>
      <c r="AC998"/>
      <c r="AD998"/>
    </row>
    <row r="999" spans="1:30">
      <c r="A999">
        <v>4110010004</v>
      </c>
      <c r="B999" t="s">
        <v>30</v>
      </c>
      <c r="C999" t="s">
        <v>88</v>
      </c>
      <c r="D999" t="s">
        <v>244</v>
      </c>
      <c r="E999" t="s">
        <v>48</v>
      </c>
      <c r="F999" t="s">
        <v>48</v>
      </c>
      <c r="G999" t="s">
        <v>530</v>
      </c>
      <c r="H999" t="s">
        <v>50</v>
      </c>
      <c r="I999" t="s">
        <v>375</v>
      </c>
      <c r="J999" t="s">
        <v>59</v>
      </c>
      <c r="K999" t="str">
        <f>"na"</f>
        <v>0</v>
      </c>
      <c r="L999">
        <v>48000</v>
      </c>
      <c r="M999"/>
      <c r="N999" t="s">
        <v>38</v>
      </c>
      <c r="O999" t="s">
        <v>38</v>
      </c>
      <c r="P999" t="s">
        <v>53</v>
      </c>
      <c r="Q999" t="s">
        <v>38</v>
      </c>
      <c r="R999" t="s">
        <v>38</v>
      </c>
      <c r="S999" t="s">
        <v>42</v>
      </c>
      <c r="T999" t="s">
        <v>42</v>
      </c>
      <c r="U999" t="s">
        <v>1106</v>
      </c>
      <c r="V999" t="s">
        <v>1110</v>
      </c>
      <c r="W999" t="s">
        <v>1106</v>
      </c>
      <c r="X999" t="s">
        <v>824</v>
      </c>
      <c r="Y999" t="s">
        <v>1107</v>
      </c>
      <c r="Z999" t="s">
        <v>47</v>
      </c>
      <c r="AA999"/>
      <c r="AB999"/>
      <c r="AC999"/>
      <c r="AD999"/>
    </row>
    <row r="1000" spans="1:30">
      <c r="A1000">
        <v>4110010005</v>
      </c>
      <c r="B1000" t="s">
        <v>30</v>
      </c>
      <c r="C1000" t="s">
        <v>88</v>
      </c>
      <c r="D1000" t="s">
        <v>244</v>
      </c>
      <c r="E1000" t="s">
        <v>48</v>
      </c>
      <c r="F1000" t="s">
        <v>48</v>
      </c>
      <c r="G1000" t="s">
        <v>540</v>
      </c>
      <c r="H1000" t="s">
        <v>50</v>
      </c>
      <c r="I1000" t="s">
        <v>375</v>
      </c>
      <c r="J1000" t="s">
        <v>59</v>
      </c>
      <c r="K1000" t="str">
        <f>"na"</f>
        <v>0</v>
      </c>
      <c r="L1000">
        <v>6000</v>
      </c>
      <c r="M1000"/>
      <c r="N1000" t="s">
        <v>38</v>
      </c>
      <c r="O1000" t="s">
        <v>38</v>
      </c>
      <c r="P1000" t="s">
        <v>53</v>
      </c>
      <c r="Q1000" t="s">
        <v>38</v>
      </c>
      <c r="R1000" t="s">
        <v>38</v>
      </c>
      <c r="S1000" t="s">
        <v>42</v>
      </c>
      <c r="T1000" t="s">
        <v>42</v>
      </c>
      <c r="U1000" t="s">
        <v>1106</v>
      </c>
      <c r="V1000" t="s">
        <v>1110</v>
      </c>
      <c r="W1000" t="s">
        <v>1106</v>
      </c>
      <c r="X1000" t="s">
        <v>824</v>
      </c>
      <c r="Y1000" t="s">
        <v>1107</v>
      </c>
      <c r="Z1000" t="s">
        <v>47</v>
      </c>
      <c r="AA1000"/>
      <c r="AB1000"/>
      <c r="AC1000"/>
      <c r="AD1000"/>
    </row>
    <row r="1001" spans="1:30">
      <c r="A1001">
        <v>4110010006</v>
      </c>
      <c r="B1001" t="s">
        <v>30</v>
      </c>
      <c r="C1001" t="s">
        <v>88</v>
      </c>
      <c r="D1001" t="s">
        <v>244</v>
      </c>
      <c r="E1001" t="s">
        <v>48</v>
      </c>
      <c r="F1001" t="s">
        <v>48</v>
      </c>
      <c r="G1001" t="s">
        <v>712</v>
      </c>
      <c r="H1001" t="s">
        <v>50</v>
      </c>
      <c r="I1001" t="s">
        <v>290</v>
      </c>
      <c r="J1001" t="s">
        <v>59</v>
      </c>
      <c r="K1001" t="str">
        <f>"na"</f>
        <v>0</v>
      </c>
      <c r="L1001">
        <v>61065</v>
      </c>
      <c r="M1001"/>
      <c r="N1001" t="s">
        <v>38</v>
      </c>
      <c r="O1001" t="s">
        <v>38</v>
      </c>
      <c r="P1001" t="s">
        <v>53</v>
      </c>
      <c r="Q1001" t="s">
        <v>38</v>
      </c>
      <c r="R1001" t="s">
        <v>38</v>
      </c>
      <c r="S1001" t="s">
        <v>266</v>
      </c>
      <c r="T1001" t="s">
        <v>266</v>
      </c>
      <c r="U1001" t="s">
        <v>1106</v>
      </c>
      <c r="V1001" t="s">
        <v>1110</v>
      </c>
      <c r="W1001" t="s">
        <v>1106</v>
      </c>
      <c r="X1001" t="s">
        <v>824</v>
      </c>
      <c r="Y1001" t="s">
        <v>1107</v>
      </c>
      <c r="Z1001" t="s">
        <v>70</v>
      </c>
      <c r="AA1001"/>
      <c r="AB1001"/>
      <c r="AC1001"/>
      <c r="AD1001"/>
    </row>
    <row r="1002" spans="1:30">
      <c r="A1002">
        <v>4110010014</v>
      </c>
      <c r="B1002" t="s">
        <v>30</v>
      </c>
      <c r="C1002" t="s">
        <v>88</v>
      </c>
      <c r="D1002" t="s">
        <v>244</v>
      </c>
      <c r="E1002" t="s">
        <v>72</v>
      </c>
      <c r="F1002" t="s">
        <v>64</v>
      </c>
      <c r="G1002" t="s">
        <v>99</v>
      </c>
      <c r="H1002" t="s">
        <v>50</v>
      </c>
      <c r="I1002" t="s">
        <v>417</v>
      </c>
      <c r="J1002" t="s">
        <v>797</v>
      </c>
      <c r="K1002" t="str">
        <f>"na"</f>
        <v>0</v>
      </c>
      <c r="L1002">
        <v>38047</v>
      </c>
      <c r="M1002"/>
      <c r="N1002" t="s">
        <v>38</v>
      </c>
      <c r="O1002" t="s">
        <v>38</v>
      </c>
      <c r="P1002" t="s">
        <v>53</v>
      </c>
      <c r="Q1002" t="s">
        <v>38</v>
      </c>
      <c r="R1002" t="s">
        <v>38</v>
      </c>
      <c r="S1002" t="s">
        <v>42</v>
      </c>
      <c r="T1002" t="s">
        <v>42</v>
      </c>
      <c r="U1002" t="s">
        <v>1106</v>
      </c>
      <c r="V1002" t="s">
        <v>1110</v>
      </c>
      <c r="W1002" t="s">
        <v>1106</v>
      </c>
      <c r="X1002" t="s">
        <v>824</v>
      </c>
      <c r="Y1002" t="s">
        <v>1107</v>
      </c>
      <c r="Z1002" t="s">
        <v>47</v>
      </c>
      <c r="AA1002"/>
      <c r="AB1002"/>
      <c r="AC1002"/>
      <c r="AD1002"/>
    </row>
    <row r="1003" spans="1:30">
      <c r="A1003">
        <v>4110020012</v>
      </c>
      <c r="B1003" t="s">
        <v>30</v>
      </c>
      <c r="C1003" t="s">
        <v>88</v>
      </c>
      <c r="D1003" t="s">
        <v>111</v>
      </c>
      <c r="E1003" t="s">
        <v>152</v>
      </c>
      <c r="F1003" t="s">
        <v>152</v>
      </c>
      <c r="G1003" t="s">
        <v>763</v>
      </c>
      <c r="H1003" t="s">
        <v>50</v>
      </c>
      <c r="I1003" t="s">
        <v>764</v>
      </c>
      <c r="J1003" t="s">
        <v>1119</v>
      </c>
      <c r="K1003" t="str">
        <f>"125101305"</f>
        <v>0</v>
      </c>
      <c r="L1003">
        <v>475154</v>
      </c>
      <c r="M1003"/>
      <c r="N1003" t="s">
        <v>38</v>
      </c>
      <c r="O1003" t="s">
        <v>38</v>
      </c>
      <c r="P1003" t="s">
        <v>53</v>
      </c>
      <c r="Q1003" t="s">
        <v>38</v>
      </c>
      <c r="R1003" t="s">
        <v>38</v>
      </c>
      <c r="S1003" t="s">
        <v>42</v>
      </c>
      <c r="T1003" t="s">
        <v>42</v>
      </c>
      <c r="U1003" t="s">
        <v>1106</v>
      </c>
      <c r="V1003" t="s">
        <v>1068</v>
      </c>
      <c r="W1003" t="s">
        <v>1106</v>
      </c>
      <c r="X1003" t="s">
        <v>824</v>
      </c>
      <c r="Y1003" t="s">
        <v>1107</v>
      </c>
      <c r="Z1003" t="s">
        <v>47</v>
      </c>
      <c r="AA1003"/>
      <c r="AB1003"/>
      <c r="AC1003"/>
      <c r="AD1003" t="s">
        <v>638</v>
      </c>
    </row>
    <row r="1004" spans="1:30">
      <c r="A1004">
        <v>4110010007</v>
      </c>
      <c r="B1004" t="s">
        <v>30</v>
      </c>
      <c r="C1004" t="s">
        <v>88</v>
      </c>
      <c r="D1004" t="s">
        <v>244</v>
      </c>
      <c r="E1004" t="s">
        <v>152</v>
      </c>
      <c r="F1004" t="s">
        <v>152</v>
      </c>
      <c r="G1004" t="s">
        <v>763</v>
      </c>
      <c r="H1004" t="s">
        <v>50</v>
      </c>
      <c r="I1004" t="s">
        <v>909</v>
      </c>
      <c r="J1004" t="s">
        <v>1120</v>
      </c>
      <c r="K1004" t="str">
        <f>"na"</f>
        <v>0</v>
      </c>
      <c r="L1004">
        <v>250000</v>
      </c>
      <c r="M1004"/>
      <c r="N1004" t="s">
        <v>38</v>
      </c>
      <c r="O1004" t="s">
        <v>38</v>
      </c>
      <c r="P1004" t="s">
        <v>53</v>
      </c>
      <c r="Q1004" t="s">
        <v>38</v>
      </c>
      <c r="R1004" t="s">
        <v>38</v>
      </c>
      <c r="S1004" t="s">
        <v>42</v>
      </c>
      <c r="T1004" t="s">
        <v>42</v>
      </c>
      <c r="U1004" t="s">
        <v>1106</v>
      </c>
      <c r="V1004" t="s">
        <v>1110</v>
      </c>
      <c r="W1004" t="s">
        <v>1106</v>
      </c>
      <c r="X1004" t="s">
        <v>824</v>
      </c>
      <c r="Y1004" t="s">
        <v>1107</v>
      </c>
      <c r="Z1004" t="s">
        <v>47</v>
      </c>
      <c r="AA1004"/>
      <c r="AB1004"/>
      <c r="AC1004"/>
      <c r="AD1004"/>
    </row>
    <row r="1005" spans="1:30">
      <c r="A1005">
        <v>4110010008</v>
      </c>
      <c r="B1005" t="s">
        <v>30</v>
      </c>
      <c r="C1005" t="s">
        <v>88</v>
      </c>
      <c r="D1005" t="s">
        <v>244</v>
      </c>
      <c r="E1005" t="s">
        <v>152</v>
      </c>
      <c r="F1005" t="s">
        <v>48</v>
      </c>
      <c r="G1005" t="s">
        <v>570</v>
      </c>
      <c r="H1005" t="s">
        <v>50</v>
      </c>
      <c r="I1005" t="s">
        <v>912</v>
      </c>
      <c r="J1005" t="s">
        <v>59</v>
      </c>
      <c r="K1005" t="str">
        <f>"na"</f>
        <v>0</v>
      </c>
      <c r="L1005">
        <v>25000</v>
      </c>
      <c r="M1005"/>
      <c r="N1005" t="s">
        <v>38</v>
      </c>
      <c r="O1005" t="s">
        <v>38</v>
      </c>
      <c r="P1005" t="s">
        <v>53</v>
      </c>
      <c r="Q1005" t="s">
        <v>38</v>
      </c>
      <c r="R1005" t="s">
        <v>38</v>
      </c>
      <c r="S1005" t="s">
        <v>42</v>
      </c>
      <c r="T1005" t="s">
        <v>42</v>
      </c>
      <c r="U1005" t="s">
        <v>1106</v>
      </c>
      <c r="V1005" t="s">
        <v>1110</v>
      </c>
      <c r="W1005" t="s">
        <v>1106</v>
      </c>
      <c r="X1005" t="s">
        <v>824</v>
      </c>
      <c r="Y1005" t="s">
        <v>1107</v>
      </c>
      <c r="Z1005" t="s">
        <v>47</v>
      </c>
      <c r="AA1005"/>
      <c r="AB1005"/>
      <c r="AC1005"/>
      <c r="AD1005"/>
    </row>
    <row r="1006" spans="1:30">
      <c r="A1006">
        <v>4110020013</v>
      </c>
      <c r="B1006" t="s">
        <v>30</v>
      </c>
      <c r="C1006" t="s">
        <v>88</v>
      </c>
      <c r="D1006" t="s">
        <v>111</v>
      </c>
      <c r="E1006" t="s">
        <v>79</v>
      </c>
      <c r="F1006" t="s">
        <v>64</v>
      </c>
      <c r="G1006" t="s">
        <v>99</v>
      </c>
      <c r="H1006" t="s">
        <v>50</v>
      </c>
      <c r="I1006" t="s">
        <v>375</v>
      </c>
      <c r="J1006" t="s">
        <v>949</v>
      </c>
      <c r="K1006" t="str">
        <f>"n/a"</f>
        <v>0</v>
      </c>
      <c r="L1006">
        <v>36000</v>
      </c>
      <c r="M1006"/>
      <c r="N1006" t="s">
        <v>38</v>
      </c>
      <c r="O1006" t="s">
        <v>38</v>
      </c>
      <c r="P1006" t="s">
        <v>53</v>
      </c>
      <c r="Q1006" t="s">
        <v>38</v>
      </c>
      <c r="R1006" t="s">
        <v>38</v>
      </c>
      <c r="S1006" t="s">
        <v>42</v>
      </c>
      <c r="T1006" t="s">
        <v>42</v>
      </c>
      <c r="U1006" t="s">
        <v>1106</v>
      </c>
      <c r="V1006" t="s">
        <v>1068</v>
      </c>
      <c r="W1006" t="s">
        <v>1106</v>
      </c>
      <c r="X1006" t="s">
        <v>824</v>
      </c>
      <c r="Y1006" t="s">
        <v>1107</v>
      </c>
      <c r="Z1006" t="s">
        <v>47</v>
      </c>
      <c r="AA1006"/>
      <c r="AB1006"/>
      <c r="AC1006"/>
      <c r="AD1006" t="s">
        <v>638</v>
      </c>
    </row>
    <row r="1007" spans="1:30">
      <c r="A1007">
        <v>4110010020</v>
      </c>
      <c r="B1007" t="s">
        <v>30</v>
      </c>
      <c r="C1007" t="s">
        <v>88</v>
      </c>
      <c r="D1007" t="s">
        <v>244</v>
      </c>
      <c r="E1007" t="s">
        <v>79</v>
      </c>
      <c r="F1007" t="s">
        <v>143</v>
      </c>
      <c r="G1007" t="s">
        <v>377</v>
      </c>
      <c r="H1007" t="s">
        <v>50</v>
      </c>
      <c r="I1007" t="s">
        <v>375</v>
      </c>
      <c r="J1007" t="s">
        <v>59</v>
      </c>
      <c r="K1007" t="str">
        <f>"na"</f>
        <v>0</v>
      </c>
      <c r="L1007">
        <v>30000</v>
      </c>
      <c r="M1007"/>
      <c r="N1007" t="s">
        <v>38</v>
      </c>
      <c r="O1007" t="s">
        <v>38</v>
      </c>
      <c r="P1007" t="s">
        <v>53</v>
      </c>
      <c r="Q1007" t="s">
        <v>38</v>
      </c>
      <c r="R1007" t="s">
        <v>38</v>
      </c>
      <c r="S1007" t="s">
        <v>42</v>
      </c>
      <c r="T1007" t="s">
        <v>42</v>
      </c>
      <c r="U1007" t="s">
        <v>1106</v>
      </c>
      <c r="V1007" t="s">
        <v>1110</v>
      </c>
      <c r="W1007" t="s">
        <v>1106</v>
      </c>
      <c r="X1007" t="s">
        <v>824</v>
      </c>
      <c r="Y1007" t="s">
        <v>1107</v>
      </c>
      <c r="Z1007" t="s">
        <v>47</v>
      </c>
      <c r="AA1007"/>
      <c r="AB1007"/>
      <c r="AC1007"/>
      <c r="AD1007"/>
    </row>
    <row r="1008" spans="1:30">
      <c r="A1008">
        <v>4110010021</v>
      </c>
      <c r="B1008" t="s">
        <v>30</v>
      </c>
      <c r="C1008" t="s">
        <v>88</v>
      </c>
      <c r="D1008" t="s">
        <v>244</v>
      </c>
      <c r="E1008" t="s">
        <v>79</v>
      </c>
      <c r="F1008" t="s">
        <v>143</v>
      </c>
      <c r="G1008" t="s">
        <v>377</v>
      </c>
      <c r="H1008" t="s">
        <v>50</v>
      </c>
      <c r="I1008" t="s">
        <v>375</v>
      </c>
      <c r="J1008" t="s">
        <v>59</v>
      </c>
      <c r="K1008" t="str">
        <f>"na"</f>
        <v>0</v>
      </c>
      <c r="L1008">
        <v>30000</v>
      </c>
      <c r="M1008"/>
      <c r="N1008" t="s">
        <v>38</v>
      </c>
      <c r="O1008" t="s">
        <v>38</v>
      </c>
      <c r="P1008" t="s">
        <v>53</v>
      </c>
      <c r="Q1008" t="s">
        <v>38</v>
      </c>
      <c r="R1008" t="s">
        <v>38</v>
      </c>
      <c r="S1008" t="s">
        <v>42</v>
      </c>
      <c r="T1008" t="s">
        <v>42</v>
      </c>
      <c r="U1008" t="s">
        <v>1106</v>
      </c>
      <c r="V1008" t="s">
        <v>1110</v>
      </c>
      <c r="W1008" t="s">
        <v>1106</v>
      </c>
      <c r="X1008" t="s">
        <v>824</v>
      </c>
      <c r="Y1008" t="s">
        <v>1107</v>
      </c>
      <c r="Z1008" t="s">
        <v>47</v>
      </c>
      <c r="AA1008"/>
      <c r="AB1008"/>
      <c r="AC1008"/>
      <c r="AD1008"/>
    </row>
    <row r="1009" spans="1:30">
      <c r="A1009">
        <v>4110010022</v>
      </c>
      <c r="B1009" t="s">
        <v>30</v>
      </c>
      <c r="C1009" t="s">
        <v>88</v>
      </c>
      <c r="D1009" t="s">
        <v>244</v>
      </c>
      <c r="E1009" t="s">
        <v>79</v>
      </c>
      <c r="F1009" t="s">
        <v>64</v>
      </c>
      <c r="G1009" t="s">
        <v>99</v>
      </c>
      <c r="H1009" t="s">
        <v>50</v>
      </c>
      <c r="I1009" t="s">
        <v>408</v>
      </c>
      <c r="J1009" t="s">
        <v>770</v>
      </c>
      <c r="K1009" t="str">
        <f>"na"</f>
        <v>0</v>
      </c>
      <c r="L1009">
        <v>86400</v>
      </c>
      <c r="M1009"/>
      <c r="N1009" t="s">
        <v>38</v>
      </c>
      <c r="O1009" t="s">
        <v>38</v>
      </c>
      <c r="P1009" t="s">
        <v>53</v>
      </c>
      <c r="Q1009" t="s">
        <v>38</v>
      </c>
      <c r="R1009" t="s">
        <v>38</v>
      </c>
      <c r="S1009" t="s">
        <v>42</v>
      </c>
      <c r="T1009" t="s">
        <v>42</v>
      </c>
      <c r="U1009" t="s">
        <v>1106</v>
      </c>
      <c r="V1009" t="s">
        <v>1110</v>
      </c>
      <c r="W1009" t="s">
        <v>1106</v>
      </c>
      <c r="X1009" t="s">
        <v>824</v>
      </c>
      <c r="Y1009" t="s">
        <v>1107</v>
      </c>
      <c r="Z1009" t="s">
        <v>47</v>
      </c>
      <c r="AA1009"/>
      <c r="AB1009"/>
      <c r="AC1009"/>
      <c r="AD1009"/>
    </row>
    <row r="1010" spans="1:30">
      <c r="A1010">
        <v>4110010024</v>
      </c>
      <c r="B1010" t="s">
        <v>30</v>
      </c>
      <c r="C1010" t="s">
        <v>88</v>
      </c>
      <c r="D1010" t="s">
        <v>244</v>
      </c>
      <c r="E1010" t="s">
        <v>494</v>
      </c>
      <c r="F1010" t="s">
        <v>48</v>
      </c>
      <c r="G1010" t="s">
        <v>136</v>
      </c>
      <c r="H1010" t="s">
        <v>50</v>
      </c>
      <c r="I1010" t="s">
        <v>254</v>
      </c>
      <c r="J1010" t="s">
        <v>59</v>
      </c>
      <c r="K1010" t="str">
        <f>"na"</f>
        <v>0</v>
      </c>
      <c r="L1010">
        <v>350000</v>
      </c>
      <c r="M1010"/>
      <c r="N1010" t="s">
        <v>38</v>
      </c>
      <c r="O1010" t="s">
        <v>38</v>
      </c>
      <c r="P1010" t="s">
        <v>53</v>
      </c>
      <c r="Q1010" t="s">
        <v>38</v>
      </c>
      <c r="R1010" t="s">
        <v>38</v>
      </c>
      <c r="S1010" t="s">
        <v>42</v>
      </c>
      <c r="T1010" t="s">
        <v>42</v>
      </c>
      <c r="U1010" t="s">
        <v>1106</v>
      </c>
      <c r="V1010" t="s">
        <v>1110</v>
      </c>
      <c r="W1010" t="s">
        <v>1106</v>
      </c>
      <c r="X1010" t="s">
        <v>824</v>
      </c>
      <c r="Y1010" t="s">
        <v>1107</v>
      </c>
      <c r="Z1010" t="s">
        <v>47</v>
      </c>
      <c r="AA1010"/>
      <c r="AB1010"/>
      <c r="AC1010"/>
      <c r="AD1010"/>
    </row>
    <row r="1011" spans="1:30">
      <c r="A1011">
        <v>4110010025</v>
      </c>
      <c r="B1011" t="s">
        <v>30</v>
      </c>
      <c r="C1011" t="s">
        <v>88</v>
      </c>
      <c r="D1011" t="s">
        <v>244</v>
      </c>
      <c r="E1011" t="s">
        <v>494</v>
      </c>
      <c r="F1011" t="s">
        <v>48</v>
      </c>
      <c r="G1011" t="s">
        <v>136</v>
      </c>
      <c r="H1011" t="s">
        <v>50</v>
      </c>
      <c r="I1011" t="s">
        <v>137</v>
      </c>
      <c r="J1011" t="s">
        <v>1121</v>
      </c>
      <c r="K1011" t="str">
        <f>"201100031mr00769"</f>
        <v>0</v>
      </c>
      <c r="L1011">
        <v>135589</v>
      </c>
      <c r="M1011"/>
      <c r="N1011" t="s">
        <v>38</v>
      </c>
      <c r="O1011" t="s">
        <v>38</v>
      </c>
      <c r="P1011" t="s">
        <v>53</v>
      </c>
      <c r="Q1011" t="s">
        <v>38</v>
      </c>
      <c r="R1011" t="s">
        <v>38</v>
      </c>
      <c r="S1011" t="s">
        <v>42</v>
      </c>
      <c r="T1011" t="s">
        <v>42</v>
      </c>
      <c r="U1011" t="s">
        <v>1106</v>
      </c>
      <c r="V1011" t="s">
        <v>1110</v>
      </c>
      <c r="W1011" t="s">
        <v>1106</v>
      </c>
      <c r="X1011" t="s">
        <v>824</v>
      </c>
      <c r="Y1011" t="s">
        <v>1107</v>
      </c>
      <c r="Z1011" t="s">
        <v>47</v>
      </c>
      <c r="AA1011"/>
      <c r="AB1011"/>
      <c r="AC1011"/>
      <c r="AD1011"/>
    </row>
    <row r="1012" spans="1:30">
      <c r="A1012">
        <v>4110020020</v>
      </c>
      <c r="B1012" t="s">
        <v>30</v>
      </c>
      <c r="C1012" t="s">
        <v>88</v>
      </c>
      <c r="D1012" t="s">
        <v>111</v>
      </c>
      <c r="E1012" t="s">
        <v>658</v>
      </c>
      <c r="F1012" t="s">
        <v>64</v>
      </c>
      <c r="G1012" t="s">
        <v>99</v>
      </c>
      <c r="H1012" t="s">
        <v>50</v>
      </c>
      <c r="I1012" t="s">
        <v>408</v>
      </c>
      <c r="J1012" t="s">
        <v>412</v>
      </c>
      <c r="K1012" t="str">
        <f>"MZJ5D 122608"</f>
        <v>0</v>
      </c>
      <c r="L1012">
        <v>30300</v>
      </c>
      <c r="M1012"/>
      <c r="N1012" t="s">
        <v>38</v>
      </c>
      <c r="O1012" t="s">
        <v>38</v>
      </c>
      <c r="P1012" t="s">
        <v>53</v>
      </c>
      <c r="Q1012" t="s">
        <v>38</v>
      </c>
      <c r="R1012" t="s">
        <v>38</v>
      </c>
      <c r="S1012" t="s">
        <v>42</v>
      </c>
      <c r="T1012" t="s">
        <v>42</v>
      </c>
      <c r="U1012" t="s">
        <v>1106</v>
      </c>
      <c r="V1012" t="s">
        <v>1068</v>
      </c>
      <c r="W1012" t="s">
        <v>1106</v>
      </c>
      <c r="X1012" t="s">
        <v>824</v>
      </c>
      <c r="Y1012" t="s">
        <v>1107</v>
      </c>
      <c r="Z1012" t="s">
        <v>47</v>
      </c>
      <c r="AA1012"/>
      <c r="AB1012"/>
      <c r="AC1012"/>
      <c r="AD1012" t="s">
        <v>638</v>
      </c>
    </row>
    <row r="1013" spans="1:30">
      <c r="A1013">
        <v>4110010031</v>
      </c>
      <c r="B1013" t="s">
        <v>30</v>
      </c>
      <c r="C1013" t="s">
        <v>88</v>
      </c>
      <c r="D1013" t="s">
        <v>244</v>
      </c>
      <c r="E1013" t="s">
        <v>55</v>
      </c>
      <c r="F1013" t="s">
        <v>48</v>
      </c>
      <c r="G1013" t="s">
        <v>136</v>
      </c>
      <c r="H1013" t="s">
        <v>50</v>
      </c>
      <c r="I1013" t="s">
        <v>254</v>
      </c>
      <c r="J1013" t="s">
        <v>59</v>
      </c>
      <c r="K1013" t="str">
        <f>"na"</f>
        <v>0</v>
      </c>
      <c r="L1013">
        <v>350000</v>
      </c>
      <c r="M1013"/>
      <c r="N1013" t="s">
        <v>38</v>
      </c>
      <c r="O1013" t="s">
        <v>38</v>
      </c>
      <c r="P1013" t="s">
        <v>53</v>
      </c>
      <c r="Q1013" t="s">
        <v>38</v>
      </c>
      <c r="R1013" t="s">
        <v>38</v>
      </c>
      <c r="S1013" t="s">
        <v>42</v>
      </c>
      <c r="T1013" t="s">
        <v>42</v>
      </c>
      <c r="U1013" t="s">
        <v>1106</v>
      </c>
      <c r="V1013" t="s">
        <v>1110</v>
      </c>
      <c r="W1013" t="s">
        <v>1106</v>
      </c>
      <c r="X1013" t="s">
        <v>824</v>
      </c>
      <c r="Y1013" t="s">
        <v>1107</v>
      </c>
      <c r="Z1013" t="s">
        <v>47</v>
      </c>
      <c r="AA1013"/>
      <c r="AB1013"/>
      <c r="AC1013"/>
      <c r="AD1013"/>
    </row>
    <row r="1014" spans="1:30">
      <c r="A1014">
        <v>4110020021</v>
      </c>
      <c r="B1014" t="s">
        <v>30</v>
      </c>
      <c r="C1014" t="s">
        <v>88</v>
      </c>
      <c r="D1014" t="s">
        <v>111</v>
      </c>
      <c r="E1014" t="s">
        <v>658</v>
      </c>
      <c r="F1014" t="s">
        <v>143</v>
      </c>
      <c r="G1014" t="s">
        <v>144</v>
      </c>
      <c r="H1014" t="s">
        <v>50</v>
      </c>
      <c r="I1014" t="s">
        <v>64</v>
      </c>
      <c r="J1014" t="s">
        <v>315</v>
      </c>
      <c r="K1014" t="str">
        <f>"n/a"</f>
        <v>0</v>
      </c>
      <c r="L1014">
        <v>34335</v>
      </c>
      <c r="M1014"/>
      <c r="N1014" t="s">
        <v>38</v>
      </c>
      <c r="O1014" t="s">
        <v>38</v>
      </c>
      <c r="P1014" t="s">
        <v>53</v>
      </c>
      <c r="Q1014" t="s">
        <v>38</v>
      </c>
      <c r="R1014" t="s">
        <v>38</v>
      </c>
      <c r="S1014" t="s">
        <v>42</v>
      </c>
      <c r="T1014" t="s">
        <v>42</v>
      </c>
      <c r="U1014" t="s">
        <v>1106</v>
      </c>
      <c r="V1014" t="s">
        <v>1068</v>
      </c>
      <c r="W1014" t="s">
        <v>1106</v>
      </c>
      <c r="X1014" t="s">
        <v>824</v>
      </c>
      <c r="Y1014" t="s">
        <v>1107</v>
      </c>
      <c r="Z1014" t="s">
        <v>47</v>
      </c>
      <c r="AA1014"/>
      <c r="AB1014"/>
      <c r="AC1014"/>
      <c r="AD1014" t="s">
        <v>638</v>
      </c>
    </row>
    <row r="1015" spans="1:30">
      <c r="A1015">
        <v>4110010032</v>
      </c>
      <c r="B1015" t="s">
        <v>30</v>
      </c>
      <c r="C1015" t="s">
        <v>88</v>
      </c>
      <c r="D1015" t="s">
        <v>244</v>
      </c>
      <c r="E1015" t="s">
        <v>55</v>
      </c>
      <c r="F1015" t="s">
        <v>64</v>
      </c>
      <c r="G1015" t="s">
        <v>99</v>
      </c>
      <c r="H1015" t="s">
        <v>50</v>
      </c>
      <c r="I1015" t="s">
        <v>417</v>
      </c>
      <c r="J1015" t="s">
        <v>797</v>
      </c>
      <c r="K1015" t="str">
        <f>"na"</f>
        <v>0</v>
      </c>
      <c r="L1015">
        <v>38047</v>
      </c>
      <c r="M1015"/>
      <c r="N1015" t="s">
        <v>38</v>
      </c>
      <c r="O1015" t="s">
        <v>38</v>
      </c>
      <c r="P1015" t="s">
        <v>53</v>
      </c>
      <c r="Q1015" t="s">
        <v>38</v>
      </c>
      <c r="R1015" t="s">
        <v>38</v>
      </c>
      <c r="S1015" t="s">
        <v>42</v>
      </c>
      <c r="T1015" t="s">
        <v>42</v>
      </c>
      <c r="U1015" t="s">
        <v>1106</v>
      </c>
      <c r="V1015" t="s">
        <v>1110</v>
      </c>
      <c r="W1015" t="s">
        <v>1106</v>
      </c>
      <c r="X1015" t="s">
        <v>824</v>
      </c>
      <c r="Y1015" t="s">
        <v>1107</v>
      </c>
      <c r="Z1015" t="s">
        <v>47</v>
      </c>
      <c r="AA1015"/>
      <c r="AB1015"/>
      <c r="AC1015"/>
      <c r="AD1015"/>
    </row>
    <row r="1016" spans="1:30">
      <c r="A1016">
        <v>4110010033</v>
      </c>
      <c r="B1016" t="s">
        <v>30</v>
      </c>
      <c r="C1016" t="s">
        <v>88</v>
      </c>
      <c r="D1016" t="s">
        <v>244</v>
      </c>
      <c r="E1016" t="s">
        <v>55</v>
      </c>
      <c r="F1016" t="s">
        <v>64</v>
      </c>
      <c r="G1016" t="s">
        <v>99</v>
      </c>
      <c r="H1016" t="s">
        <v>50</v>
      </c>
      <c r="I1016" t="s">
        <v>314</v>
      </c>
      <c r="J1016" t="s">
        <v>521</v>
      </c>
      <c r="K1016" t="str">
        <f>"21g23d401aa011318"</f>
        <v>0</v>
      </c>
      <c r="L1016">
        <v>36000</v>
      </c>
      <c r="M1016"/>
      <c r="N1016" t="s">
        <v>38</v>
      </c>
      <c r="O1016" t="s">
        <v>38</v>
      </c>
      <c r="P1016" t="s">
        <v>53</v>
      </c>
      <c r="Q1016" t="s">
        <v>38</v>
      </c>
      <c r="R1016" t="s">
        <v>38</v>
      </c>
      <c r="S1016" t="s">
        <v>42</v>
      </c>
      <c r="T1016" t="s">
        <v>42</v>
      </c>
      <c r="U1016" t="s">
        <v>1106</v>
      </c>
      <c r="V1016" t="s">
        <v>1110</v>
      </c>
      <c r="W1016" t="s">
        <v>1106</v>
      </c>
      <c r="X1016" t="s">
        <v>824</v>
      </c>
      <c r="Y1016" t="s">
        <v>1107</v>
      </c>
      <c r="Z1016" t="s">
        <v>47</v>
      </c>
      <c r="AA1016"/>
      <c r="AB1016"/>
      <c r="AC1016"/>
      <c r="AD1016"/>
    </row>
    <row r="1017" spans="1:30">
      <c r="A1017">
        <v>4110020023</v>
      </c>
      <c r="B1017" t="s">
        <v>30</v>
      </c>
      <c r="C1017" t="s">
        <v>88</v>
      </c>
      <c r="D1017" t="s">
        <v>111</v>
      </c>
      <c r="E1017" t="s">
        <v>658</v>
      </c>
      <c r="F1017" t="s">
        <v>147</v>
      </c>
      <c r="G1017" t="s">
        <v>360</v>
      </c>
      <c r="H1017" t="s">
        <v>35</v>
      </c>
      <c r="I1017" t="s">
        <v>420</v>
      </c>
      <c r="J1017">
        <v>99507000103</v>
      </c>
      <c r="K1017" t="str">
        <f>"48422942"</f>
        <v>0</v>
      </c>
      <c r="L1017">
        <v>719000</v>
      </c>
      <c r="M1017"/>
      <c r="N1017" t="s">
        <v>38</v>
      </c>
      <c r="O1017" t="s">
        <v>38</v>
      </c>
      <c r="P1017" t="s">
        <v>53</v>
      </c>
      <c r="Q1017" t="s">
        <v>38</v>
      </c>
      <c r="R1017" t="s">
        <v>38</v>
      </c>
      <c r="S1017" t="s">
        <v>42</v>
      </c>
      <c r="T1017" t="s">
        <v>42</v>
      </c>
      <c r="U1017" t="s">
        <v>1106</v>
      </c>
      <c r="V1017" t="s">
        <v>1068</v>
      </c>
      <c r="W1017" t="s">
        <v>1106</v>
      </c>
      <c r="X1017" t="s">
        <v>824</v>
      </c>
      <c r="Y1017" t="s">
        <v>1107</v>
      </c>
      <c r="Z1017" t="s">
        <v>47</v>
      </c>
      <c r="AA1017"/>
      <c r="AB1017"/>
      <c r="AC1017"/>
      <c r="AD1017" t="s">
        <v>638</v>
      </c>
    </row>
    <row r="1018" spans="1:30">
      <c r="A1018">
        <v>4110010034</v>
      </c>
      <c r="B1018" t="s">
        <v>30</v>
      </c>
      <c r="C1018" t="s">
        <v>88</v>
      </c>
      <c r="D1018" t="s">
        <v>244</v>
      </c>
      <c r="E1018" t="s">
        <v>55</v>
      </c>
      <c r="F1018" t="s">
        <v>64</v>
      </c>
      <c r="G1018" t="s">
        <v>99</v>
      </c>
      <c r="H1018" t="s">
        <v>50</v>
      </c>
      <c r="I1018" t="s">
        <v>314</v>
      </c>
      <c r="J1018" t="s">
        <v>521</v>
      </c>
      <c r="K1018" t="str">
        <f>"na"</f>
        <v>0</v>
      </c>
      <c r="L1018">
        <v>36000</v>
      </c>
      <c r="M1018"/>
      <c r="N1018" t="s">
        <v>38</v>
      </c>
      <c r="O1018" t="s">
        <v>38</v>
      </c>
      <c r="P1018" t="s">
        <v>53</v>
      </c>
      <c r="Q1018" t="s">
        <v>38</v>
      </c>
      <c r="R1018" t="s">
        <v>38</v>
      </c>
      <c r="S1018" t="s">
        <v>42</v>
      </c>
      <c r="T1018" t="s">
        <v>42</v>
      </c>
      <c r="U1018" t="s">
        <v>1106</v>
      </c>
      <c r="V1018" t="s">
        <v>1110</v>
      </c>
      <c r="W1018" t="s">
        <v>1106</v>
      </c>
      <c r="X1018" t="s">
        <v>824</v>
      </c>
      <c r="Y1018" t="s">
        <v>1107</v>
      </c>
      <c r="Z1018" t="s">
        <v>47</v>
      </c>
      <c r="AA1018"/>
      <c r="AB1018"/>
      <c r="AC1018"/>
      <c r="AD1018"/>
    </row>
    <row r="1019" spans="1:30">
      <c r="A1019">
        <v>4110020024</v>
      </c>
      <c r="B1019" t="s">
        <v>30</v>
      </c>
      <c r="C1019" t="s">
        <v>88</v>
      </c>
      <c r="D1019" t="s">
        <v>111</v>
      </c>
      <c r="E1019" t="s">
        <v>658</v>
      </c>
      <c r="F1019" t="s">
        <v>147</v>
      </c>
      <c r="G1019" t="s">
        <v>148</v>
      </c>
      <c r="H1019" t="s">
        <v>35</v>
      </c>
      <c r="I1019" t="s">
        <v>149</v>
      </c>
      <c r="J1019" t="s">
        <v>265</v>
      </c>
      <c r="K1019" t="str">
        <f>"V301A1911020"</f>
        <v>0</v>
      </c>
      <c r="L1019">
        <v>47952</v>
      </c>
      <c r="M1019"/>
      <c r="N1019" t="s">
        <v>38</v>
      </c>
      <c r="O1019" t="s">
        <v>38</v>
      </c>
      <c r="P1019" t="s">
        <v>53</v>
      </c>
      <c r="Q1019" t="s">
        <v>38</v>
      </c>
      <c r="R1019" t="s">
        <v>38</v>
      </c>
      <c r="S1019" t="s">
        <v>42</v>
      </c>
      <c r="T1019" t="s">
        <v>42</v>
      </c>
      <c r="U1019" t="s">
        <v>1106</v>
      </c>
      <c r="V1019" t="s">
        <v>1068</v>
      </c>
      <c r="W1019" t="s">
        <v>1106</v>
      </c>
      <c r="X1019" t="s">
        <v>824</v>
      </c>
      <c r="Y1019" t="s">
        <v>1107</v>
      </c>
      <c r="Z1019" t="s">
        <v>47</v>
      </c>
      <c r="AA1019"/>
      <c r="AB1019"/>
      <c r="AC1019"/>
      <c r="AD1019" t="s">
        <v>638</v>
      </c>
    </row>
    <row r="1020" spans="1:30">
      <c r="A1020">
        <v>4110010035</v>
      </c>
      <c r="B1020" t="s">
        <v>30</v>
      </c>
      <c r="C1020" t="s">
        <v>88</v>
      </c>
      <c r="D1020" t="s">
        <v>244</v>
      </c>
      <c r="E1020" t="s">
        <v>55</v>
      </c>
      <c r="F1020" t="s">
        <v>64</v>
      </c>
      <c r="G1020" t="s">
        <v>99</v>
      </c>
      <c r="H1020" t="s">
        <v>50</v>
      </c>
      <c r="I1020" t="s">
        <v>314</v>
      </c>
      <c r="J1020" t="s">
        <v>521</v>
      </c>
      <c r="K1020" t="str">
        <f>"na"</f>
        <v>0</v>
      </c>
      <c r="L1020">
        <v>36000</v>
      </c>
      <c r="M1020"/>
      <c r="N1020" t="s">
        <v>38</v>
      </c>
      <c r="O1020" t="s">
        <v>38</v>
      </c>
      <c r="P1020" t="s">
        <v>53</v>
      </c>
      <c r="Q1020" t="s">
        <v>38</v>
      </c>
      <c r="R1020" t="s">
        <v>38</v>
      </c>
      <c r="S1020" t="s">
        <v>42</v>
      </c>
      <c r="T1020" t="s">
        <v>42</v>
      </c>
      <c r="U1020" t="s">
        <v>1106</v>
      </c>
      <c r="V1020" t="s">
        <v>1110</v>
      </c>
      <c r="W1020" t="s">
        <v>1106</v>
      </c>
      <c r="X1020" t="s">
        <v>824</v>
      </c>
      <c r="Y1020" t="s">
        <v>1107</v>
      </c>
      <c r="Z1020" t="s">
        <v>47</v>
      </c>
      <c r="AA1020"/>
      <c r="AB1020"/>
      <c r="AC1020"/>
      <c r="AD1020"/>
    </row>
    <row r="1021" spans="1:30">
      <c r="A1021">
        <v>4110010036</v>
      </c>
      <c r="B1021" t="s">
        <v>30</v>
      </c>
      <c r="C1021" t="s">
        <v>88</v>
      </c>
      <c r="D1021" t="s">
        <v>244</v>
      </c>
      <c r="E1021" t="s">
        <v>55</v>
      </c>
      <c r="F1021" t="s">
        <v>143</v>
      </c>
      <c r="G1021" t="s">
        <v>144</v>
      </c>
      <c r="H1021" t="s">
        <v>50</v>
      </c>
      <c r="I1021" t="s">
        <v>375</v>
      </c>
      <c r="J1021" t="s">
        <v>59</v>
      </c>
      <c r="K1021" t="str">
        <f>"na"</f>
        <v>0</v>
      </c>
      <c r="L1021">
        <v>34335</v>
      </c>
      <c r="M1021"/>
      <c r="N1021" t="s">
        <v>38</v>
      </c>
      <c r="O1021" t="s">
        <v>38</v>
      </c>
      <c r="P1021" t="s">
        <v>53</v>
      </c>
      <c r="Q1021" t="s">
        <v>38</v>
      </c>
      <c r="R1021" t="s">
        <v>38</v>
      </c>
      <c r="S1021" t="s">
        <v>42</v>
      </c>
      <c r="T1021" t="s">
        <v>42</v>
      </c>
      <c r="U1021" t="s">
        <v>1106</v>
      </c>
      <c r="V1021" t="s">
        <v>1110</v>
      </c>
      <c r="W1021" t="s">
        <v>1106</v>
      </c>
      <c r="X1021" t="s">
        <v>824</v>
      </c>
      <c r="Y1021" t="s">
        <v>1107</v>
      </c>
      <c r="Z1021" t="s">
        <v>47</v>
      </c>
      <c r="AA1021"/>
      <c r="AB1021"/>
      <c r="AC1021"/>
      <c r="AD1021"/>
    </row>
    <row r="1022" spans="1:30">
      <c r="A1022">
        <v>4110010037</v>
      </c>
      <c r="B1022" t="s">
        <v>30</v>
      </c>
      <c r="C1022" t="s">
        <v>88</v>
      </c>
      <c r="D1022" t="s">
        <v>244</v>
      </c>
      <c r="E1022" t="s">
        <v>55</v>
      </c>
      <c r="F1022" t="s">
        <v>64</v>
      </c>
      <c r="G1022" t="s">
        <v>99</v>
      </c>
      <c r="H1022" t="s">
        <v>50</v>
      </c>
      <c r="I1022" t="s">
        <v>417</v>
      </c>
      <c r="J1022" t="s">
        <v>1122</v>
      </c>
      <c r="K1022" t="str">
        <f>"na"</f>
        <v>0</v>
      </c>
      <c r="L1022">
        <v>36000</v>
      </c>
      <c r="M1022"/>
      <c r="N1022" t="s">
        <v>38</v>
      </c>
      <c r="O1022" t="s">
        <v>38</v>
      </c>
      <c r="P1022" t="s">
        <v>53</v>
      </c>
      <c r="Q1022" t="s">
        <v>38</v>
      </c>
      <c r="R1022" t="s">
        <v>38</v>
      </c>
      <c r="S1022" t="s">
        <v>42</v>
      </c>
      <c r="T1022" t="s">
        <v>42</v>
      </c>
      <c r="U1022" t="s">
        <v>1106</v>
      </c>
      <c r="V1022" t="s">
        <v>1110</v>
      </c>
      <c r="W1022" t="s">
        <v>1106</v>
      </c>
      <c r="X1022" t="s">
        <v>824</v>
      </c>
      <c r="Y1022" t="s">
        <v>1107</v>
      </c>
      <c r="Z1022" t="s">
        <v>47</v>
      </c>
      <c r="AA1022"/>
      <c r="AB1022"/>
      <c r="AC1022"/>
      <c r="AD1022"/>
    </row>
    <row r="1023" spans="1:30">
      <c r="A1023">
        <v>4110010038</v>
      </c>
      <c r="B1023" t="s">
        <v>30</v>
      </c>
      <c r="C1023" t="s">
        <v>88</v>
      </c>
      <c r="D1023" t="s">
        <v>244</v>
      </c>
      <c r="E1023" t="s">
        <v>55</v>
      </c>
      <c r="F1023" t="s">
        <v>64</v>
      </c>
      <c r="G1023" t="s">
        <v>99</v>
      </c>
      <c r="H1023" t="s">
        <v>50</v>
      </c>
      <c r="I1023" t="s">
        <v>417</v>
      </c>
      <c r="J1023" t="s">
        <v>1122</v>
      </c>
      <c r="K1023" t="str">
        <f>"na"</f>
        <v>0</v>
      </c>
      <c r="L1023">
        <v>36000</v>
      </c>
      <c r="M1023"/>
      <c r="N1023" t="s">
        <v>38</v>
      </c>
      <c r="O1023" t="s">
        <v>38</v>
      </c>
      <c r="P1023" t="s">
        <v>53</v>
      </c>
      <c r="Q1023" t="s">
        <v>38</v>
      </c>
      <c r="R1023" t="s">
        <v>38</v>
      </c>
      <c r="S1023" t="s">
        <v>42</v>
      </c>
      <c r="T1023" t="s">
        <v>42</v>
      </c>
      <c r="U1023" t="s">
        <v>1106</v>
      </c>
      <c r="V1023" t="s">
        <v>1110</v>
      </c>
      <c r="W1023" t="s">
        <v>1106</v>
      </c>
      <c r="X1023" t="s">
        <v>824</v>
      </c>
      <c r="Y1023" t="s">
        <v>1107</v>
      </c>
      <c r="Z1023" t="s">
        <v>47</v>
      </c>
      <c r="AA1023"/>
      <c r="AB1023"/>
      <c r="AC1023"/>
      <c r="AD1023"/>
    </row>
    <row r="1024" spans="1:30">
      <c r="A1024">
        <v>4110020025</v>
      </c>
      <c r="B1024" t="s">
        <v>30</v>
      </c>
      <c r="C1024" t="s">
        <v>88</v>
      </c>
      <c r="D1024" t="s">
        <v>111</v>
      </c>
      <c r="E1024" t="s">
        <v>494</v>
      </c>
      <c r="F1024" t="s">
        <v>48</v>
      </c>
      <c r="G1024" t="s">
        <v>136</v>
      </c>
      <c r="H1024" t="s">
        <v>50</v>
      </c>
      <c r="I1024" t="s">
        <v>254</v>
      </c>
      <c r="J1024" t="s">
        <v>1123</v>
      </c>
      <c r="K1024" t="str">
        <f>"90210807408"</f>
        <v>0</v>
      </c>
      <c r="L1024">
        <v>350000</v>
      </c>
      <c r="M1024"/>
      <c r="N1024" t="s">
        <v>38</v>
      </c>
      <c r="O1024" t="s">
        <v>38</v>
      </c>
      <c r="P1024" t="s">
        <v>53</v>
      </c>
      <c r="Q1024" t="s">
        <v>38</v>
      </c>
      <c r="R1024" t="s">
        <v>38</v>
      </c>
      <c r="S1024" t="s">
        <v>42</v>
      </c>
      <c r="T1024" t="s">
        <v>42</v>
      </c>
      <c r="U1024" t="s">
        <v>1106</v>
      </c>
      <c r="V1024" t="s">
        <v>1068</v>
      </c>
      <c r="W1024" t="s">
        <v>1106</v>
      </c>
      <c r="X1024" t="s">
        <v>824</v>
      </c>
      <c r="Y1024" t="s">
        <v>1107</v>
      </c>
      <c r="Z1024" t="s">
        <v>47</v>
      </c>
      <c r="AA1024"/>
      <c r="AB1024"/>
      <c r="AC1024"/>
      <c r="AD1024" t="s">
        <v>638</v>
      </c>
    </row>
    <row r="1025" spans="1:30">
      <c r="A1025">
        <v>4110010039</v>
      </c>
      <c r="B1025" t="s">
        <v>30</v>
      </c>
      <c r="C1025" t="s">
        <v>88</v>
      </c>
      <c r="D1025" t="s">
        <v>244</v>
      </c>
      <c r="E1025" t="s">
        <v>55</v>
      </c>
      <c r="F1025" t="s">
        <v>48</v>
      </c>
      <c r="G1025" t="s">
        <v>203</v>
      </c>
      <c r="H1025" t="s">
        <v>50</v>
      </c>
      <c r="I1025" t="s">
        <v>173</v>
      </c>
      <c r="J1025" t="s">
        <v>1024</v>
      </c>
      <c r="K1025" t="str">
        <f>"na"</f>
        <v>0</v>
      </c>
      <c r="L1025">
        <v>36125</v>
      </c>
      <c r="M1025"/>
      <c r="N1025" t="s">
        <v>38</v>
      </c>
      <c r="O1025" t="s">
        <v>38</v>
      </c>
      <c r="P1025" t="s">
        <v>53</v>
      </c>
      <c r="Q1025" t="s">
        <v>38</v>
      </c>
      <c r="R1025" t="s">
        <v>38</v>
      </c>
      <c r="S1025" t="s">
        <v>42</v>
      </c>
      <c r="T1025" t="s">
        <v>42</v>
      </c>
      <c r="U1025" t="s">
        <v>1106</v>
      </c>
      <c r="V1025" t="s">
        <v>1110</v>
      </c>
      <c r="W1025" t="s">
        <v>1106</v>
      </c>
      <c r="X1025" t="s">
        <v>824</v>
      </c>
      <c r="Y1025" t="s">
        <v>1107</v>
      </c>
      <c r="Z1025" t="s">
        <v>47</v>
      </c>
      <c r="AA1025"/>
      <c r="AB1025"/>
      <c r="AC1025"/>
      <c r="AD1025"/>
    </row>
    <row r="1026" spans="1:30">
      <c r="A1026">
        <v>4110020026</v>
      </c>
      <c r="B1026" t="s">
        <v>30</v>
      </c>
      <c r="C1026" t="s">
        <v>88</v>
      </c>
      <c r="D1026" t="s">
        <v>111</v>
      </c>
      <c r="E1026" t="s">
        <v>494</v>
      </c>
      <c r="F1026" t="s">
        <v>48</v>
      </c>
      <c r="G1026" t="s">
        <v>136</v>
      </c>
      <c r="H1026" t="s">
        <v>50</v>
      </c>
      <c r="I1026" t="s">
        <v>254</v>
      </c>
      <c r="J1026" t="s">
        <v>1046</v>
      </c>
      <c r="K1026" t="str">
        <f>"20171870408"</f>
        <v>0</v>
      </c>
      <c r="L1026">
        <v>350000</v>
      </c>
      <c r="M1026"/>
      <c r="N1026" t="s">
        <v>38</v>
      </c>
      <c r="O1026" t="s">
        <v>38</v>
      </c>
      <c r="P1026" t="s">
        <v>53</v>
      </c>
      <c r="Q1026" t="s">
        <v>38</v>
      </c>
      <c r="R1026" t="s">
        <v>38</v>
      </c>
      <c r="S1026" t="s">
        <v>42</v>
      </c>
      <c r="T1026" t="s">
        <v>42</v>
      </c>
      <c r="U1026" t="s">
        <v>1106</v>
      </c>
      <c r="V1026" t="s">
        <v>1068</v>
      </c>
      <c r="W1026" t="s">
        <v>1106</v>
      </c>
      <c r="X1026" t="s">
        <v>824</v>
      </c>
      <c r="Y1026" t="s">
        <v>1107</v>
      </c>
      <c r="Z1026" t="s">
        <v>47</v>
      </c>
      <c r="AA1026"/>
      <c r="AB1026"/>
      <c r="AC1026"/>
      <c r="AD1026" t="s">
        <v>638</v>
      </c>
    </row>
    <row r="1027" spans="1:30">
      <c r="A1027">
        <v>4110020027</v>
      </c>
      <c r="B1027" t="s">
        <v>30</v>
      </c>
      <c r="C1027" t="s">
        <v>88</v>
      </c>
      <c r="D1027" t="s">
        <v>111</v>
      </c>
      <c r="E1027" t="s">
        <v>494</v>
      </c>
      <c r="F1027" t="s">
        <v>48</v>
      </c>
      <c r="G1027" t="s">
        <v>280</v>
      </c>
      <c r="H1027" t="s">
        <v>50</v>
      </c>
      <c r="I1027" t="s">
        <v>258</v>
      </c>
      <c r="J1027" t="s">
        <v>1124</v>
      </c>
      <c r="K1027" t="str">
        <f>"BEO4GOGASOOQEHB90133"</f>
        <v>0</v>
      </c>
      <c r="L1027">
        <v>105340</v>
      </c>
      <c r="M1027"/>
      <c r="N1027" t="s">
        <v>38</v>
      </c>
      <c r="O1027" t="s">
        <v>38</v>
      </c>
      <c r="P1027" t="s">
        <v>53</v>
      </c>
      <c r="Q1027" t="s">
        <v>38</v>
      </c>
      <c r="R1027" t="s">
        <v>38</v>
      </c>
      <c r="S1027" t="s">
        <v>42</v>
      </c>
      <c r="T1027" t="s">
        <v>42</v>
      </c>
      <c r="U1027" t="s">
        <v>1106</v>
      </c>
      <c r="V1027" t="s">
        <v>1068</v>
      </c>
      <c r="W1027" t="s">
        <v>1106</v>
      </c>
      <c r="X1027" t="s">
        <v>824</v>
      </c>
      <c r="Y1027" t="s">
        <v>1107</v>
      </c>
      <c r="Z1027" t="s">
        <v>47</v>
      </c>
      <c r="AA1027"/>
      <c r="AB1027"/>
      <c r="AC1027"/>
      <c r="AD1027" t="s">
        <v>638</v>
      </c>
    </row>
    <row r="1028" spans="1:30">
      <c r="A1028">
        <v>4110010043</v>
      </c>
      <c r="B1028" t="s">
        <v>30</v>
      </c>
      <c r="C1028" t="s">
        <v>88</v>
      </c>
      <c r="D1028" t="s">
        <v>244</v>
      </c>
      <c r="E1028" t="s">
        <v>210</v>
      </c>
      <c r="F1028" t="s">
        <v>64</v>
      </c>
      <c r="G1028" t="s">
        <v>99</v>
      </c>
      <c r="H1028" t="s">
        <v>50</v>
      </c>
      <c r="I1028" t="s">
        <v>314</v>
      </c>
      <c r="J1028" t="s">
        <v>1125</v>
      </c>
      <c r="K1028" t="str">
        <f>"na"</f>
        <v>0</v>
      </c>
      <c r="L1028">
        <v>36000</v>
      </c>
      <c r="M1028"/>
      <c r="N1028" t="s">
        <v>38</v>
      </c>
      <c r="O1028" t="s">
        <v>38</v>
      </c>
      <c r="P1028" t="s">
        <v>53</v>
      </c>
      <c r="Q1028" t="s">
        <v>38</v>
      </c>
      <c r="R1028" t="s">
        <v>38</v>
      </c>
      <c r="S1028" t="s">
        <v>42</v>
      </c>
      <c r="T1028" t="s">
        <v>42</v>
      </c>
      <c r="U1028" t="s">
        <v>1106</v>
      </c>
      <c r="V1028" t="s">
        <v>1110</v>
      </c>
      <c r="W1028" t="s">
        <v>1106</v>
      </c>
      <c r="X1028" t="s">
        <v>824</v>
      </c>
      <c r="Y1028" t="s">
        <v>1107</v>
      </c>
      <c r="Z1028" t="s">
        <v>47</v>
      </c>
      <c r="AA1028"/>
      <c r="AB1028"/>
      <c r="AC1028"/>
      <c r="AD1028"/>
    </row>
    <row r="1029" spans="1:30">
      <c r="A1029">
        <v>4110010044</v>
      </c>
      <c r="B1029" t="s">
        <v>30</v>
      </c>
      <c r="C1029" t="s">
        <v>88</v>
      </c>
      <c r="D1029" t="s">
        <v>244</v>
      </c>
      <c r="E1029" t="s">
        <v>210</v>
      </c>
      <c r="F1029" t="s">
        <v>64</v>
      </c>
      <c r="G1029" t="s">
        <v>99</v>
      </c>
      <c r="H1029" t="s">
        <v>50</v>
      </c>
      <c r="I1029" t="s">
        <v>408</v>
      </c>
      <c r="J1029" t="s">
        <v>770</v>
      </c>
      <c r="K1029" t="str">
        <f>"na"</f>
        <v>0</v>
      </c>
      <c r="L1029">
        <v>86400</v>
      </c>
      <c r="M1029"/>
      <c r="N1029" t="s">
        <v>38</v>
      </c>
      <c r="O1029" t="s">
        <v>38</v>
      </c>
      <c r="P1029" t="s">
        <v>53</v>
      </c>
      <c r="Q1029" t="s">
        <v>38</v>
      </c>
      <c r="R1029" t="s">
        <v>38</v>
      </c>
      <c r="S1029" t="s">
        <v>42</v>
      </c>
      <c r="T1029" t="s">
        <v>42</v>
      </c>
      <c r="U1029" t="s">
        <v>1106</v>
      </c>
      <c r="V1029" t="s">
        <v>1110</v>
      </c>
      <c r="W1029" t="s">
        <v>1106</v>
      </c>
      <c r="X1029" t="s">
        <v>824</v>
      </c>
      <c r="Y1029" t="s">
        <v>1107</v>
      </c>
      <c r="Z1029" t="s">
        <v>47</v>
      </c>
      <c r="AA1029"/>
      <c r="AB1029"/>
      <c r="AC1029"/>
      <c r="AD1029"/>
    </row>
    <row r="1030" spans="1:30">
      <c r="A1030">
        <v>4110020028</v>
      </c>
      <c r="B1030" t="s">
        <v>30</v>
      </c>
      <c r="C1030" t="s">
        <v>88</v>
      </c>
      <c r="D1030" t="s">
        <v>111</v>
      </c>
      <c r="E1030" t="s">
        <v>494</v>
      </c>
      <c r="F1030" t="s">
        <v>48</v>
      </c>
      <c r="G1030" t="s">
        <v>280</v>
      </c>
      <c r="H1030" t="s">
        <v>50</v>
      </c>
      <c r="I1030" t="s">
        <v>258</v>
      </c>
      <c r="J1030" t="s">
        <v>1085</v>
      </c>
      <c r="K1030" t="str">
        <f>"BEO4G0E0100B28840220"</f>
        <v>0</v>
      </c>
      <c r="L1030">
        <v>105340</v>
      </c>
      <c r="M1030"/>
      <c r="N1030" t="s">
        <v>38</v>
      </c>
      <c r="O1030" t="s">
        <v>38</v>
      </c>
      <c r="P1030" t="s">
        <v>53</v>
      </c>
      <c r="Q1030" t="s">
        <v>38</v>
      </c>
      <c r="R1030" t="s">
        <v>38</v>
      </c>
      <c r="S1030" t="s">
        <v>42</v>
      </c>
      <c r="T1030" t="s">
        <v>42</v>
      </c>
      <c r="U1030" t="s">
        <v>1106</v>
      </c>
      <c r="V1030" t="s">
        <v>1068</v>
      </c>
      <c r="W1030" t="s">
        <v>1106</v>
      </c>
      <c r="X1030" t="s">
        <v>824</v>
      </c>
      <c r="Y1030" t="s">
        <v>1107</v>
      </c>
      <c r="Z1030" t="s">
        <v>47</v>
      </c>
      <c r="AA1030"/>
      <c r="AB1030"/>
      <c r="AC1030"/>
      <c r="AD1030" t="s">
        <v>1126</v>
      </c>
    </row>
    <row r="1031" spans="1:30">
      <c r="A1031">
        <v>4110010045</v>
      </c>
      <c r="B1031" t="s">
        <v>30</v>
      </c>
      <c r="C1031" t="s">
        <v>88</v>
      </c>
      <c r="D1031" t="s">
        <v>244</v>
      </c>
      <c r="E1031" t="s">
        <v>210</v>
      </c>
      <c r="F1031" t="s">
        <v>64</v>
      </c>
      <c r="G1031" t="s">
        <v>99</v>
      </c>
      <c r="H1031" t="s">
        <v>50</v>
      </c>
      <c r="I1031" t="s">
        <v>408</v>
      </c>
      <c r="J1031" t="s">
        <v>770</v>
      </c>
      <c r="K1031" t="str">
        <f>"na"</f>
        <v>0</v>
      </c>
      <c r="L1031">
        <v>30300</v>
      </c>
      <c r="M1031"/>
      <c r="N1031" t="s">
        <v>38</v>
      </c>
      <c r="O1031" t="s">
        <v>38</v>
      </c>
      <c r="P1031" t="s">
        <v>53</v>
      </c>
      <c r="Q1031" t="s">
        <v>38</v>
      </c>
      <c r="R1031" t="s">
        <v>38</v>
      </c>
      <c r="S1031" t="s">
        <v>42</v>
      </c>
      <c r="T1031" t="s">
        <v>42</v>
      </c>
      <c r="U1031" t="s">
        <v>1106</v>
      </c>
      <c r="V1031" t="s">
        <v>1110</v>
      </c>
      <c r="W1031" t="s">
        <v>1106</v>
      </c>
      <c r="X1031" t="s">
        <v>824</v>
      </c>
      <c r="Y1031" t="s">
        <v>1107</v>
      </c>
      <c r="Z1031" t="s">
        <v>47</v>
      </c>
      <c r="AA1031"/>
      <c r="AB1031"/>
      <c r="AC1031"/>
      <c r="AD1031"/>
    </row>
    <row r="1032" spans="1:30">
      <c r="A1032">
        <v>5110070004</v>
      </c>
      <c r="B1032" t="s">
        <v>30</v>
      </c>
      <c r="C1032" t="s">
        <v>230</v>
      </c>
      <c r="D1032" t="s">
        <v>231</v>
      </c>
      <c r="E1032" t="s">
        <v>48</v>
      </c>
      <c r="F1032" t="s">
        <v>48</v>
      </c>
      <c r="G1032" t="s">
        <v>837</v>
      </c>
      <c r="H1032" t="s">
        <v>50</v>
      </c>
      <c r="I1032" t="s">
        <v>838</v>
      </c>
      <c r="J1032" t="s">
        <v>1127</v>
      </c>
      <c r="K1032" t="str">
        <f>"tldu3725"</f>
        <v>0</v>
      </c>
      <c r="L1032">
        <v>850000</v>
      </c>
      <c r="M1032"/>
      <c r="N1032" t="s">
        <v>1128</v>
      </c>
      <c r="O1032" t="s">
        <v>38</v>
      </c>
      <c r="P1032" t="s">
        <v>53</v>
      </c>
      <c r="Q1032" t="s">
        <v>38</v>
      </c>
      <c r="R1032" t="s">
        <v>38</v>
      </c>
      <c r="S1032" t="s">
        <v>42</v>
      </c>
      <c r="T1032" t="s">
        <v>42</v>
      </c>
      <c r="U1032" t="s">
        <v>1106</v>
      </c>
      <c r="V1032" t="s">
        <v>1110</v>
      </c>
      <c r="W1032" t="s">
        <v>1106</v>
      </c>
      <c r="X1032" t="s">
        <v>824</v>
      </c>
      <c r="Y1032" t="s">
        <v>1129</v>
      </c>
      <c r="Z1032" t="s">
        <v>47</v>
      </c>
      <c r="AA1032"/>
      <c r="AB1032"/>
      <c r="AC1032"/>
      <c r="AD1032"/>
    </row>
    <row r="1033" spans="1:30">
      <c r="A1033">
        <v>4110020029</v>
      </c>
      <c r="B1033" t="s">
        <v>30</v>
      </c>
      <c r="C1033" t="s">
        <v>88</v>
      </c>
      <c r="D1033" t="s">
        <v>111</v>
      </c>
      <c r="E1033" t="s">
        <v>112</v>
      </c>
      <c r="F1033" t="s">
        <v>152</v>
      </c>
      <c r="G1033" t="s">
        <v>723</v>
      </c>
      <c r="H1033" t="s">
        <v>50</v>
      </c>
      <c r="I1033" t="s">
        <v>912</v>
      </c>
      <c r="J1033" t="s">
        <v>1079</v>
      </c>
      <c r="K1033" t="str">
        <f>"n/q"</f>
        <v>0</v>
      </c>
      <c r="L1033">
        <v>94500</v>
      </c>
      <c r="M1033"/>
      <c r="N1033" t="s">
        <v>38</v>
      </c>
      <c r="O1033" t="s">
        <v>38</v>
      </c>
      <c r="P1033" t="s">
        <v>53</v>
      </c>
      <c r="Q1033" t="s">
        <v>38</v>
      </c>
      <c r="R1033" t="s">
        <v>38</v>
      </c>
      <c r="S1033" t="s">
        <v>42</v>
      </c>
      <c r="T1033" t="s">
        <v>42</v>
      </c>
      <c r="U1033" t="s">
        <v>1106</v>
      </c>
      <c r="V1033" t="s">
        <v>1068</v>
      </c>
      <c r="W1033" t="s">
        <v>1106</v>
      </c>
      <c r="X1033" t="s">
        <v>824</v>
      </c>
      <c r="Y1033" t="s">
        <v>1130</v>
      </c>
      <c r="Z1033" t="s">
        <v>47</v>
      </c>
      <c r="AA1033"/>
      <c r="AB1033"/>
      <c r="AC1033"/>
      <c r="AD1033" t="s">
        <v>638</v>
      </c>
    </row>
    <row r="1034" spans="1:30">
      <c r="A1034">
        <v>4110020036</v>
      </c>
      <c r="B1034" t="s">
        <v>30</v>
      </c>
      <c r="C1034" t="s">
        <v>88</v>
      </c>
      <c r="D1034" t="s">
        <v>111</v>
      </c>
      <c r="E1034" t="s">
        <v>112</v>
      </c>
      <c r="F1034" t="s">
        <v>64</v>
      </c>
      <c r="G1034" t="s">
        <v>99</v>
      </c>
      <c r="H1034" t="s">
        <v>50</v>
      </c>
      <c r="I1034" t="s">
        <v>314</v>
      </c>
      <c r="J1034" t="s">
        <v>1131</v>
      </c>
      <c r="K1034" t="str">
        <f>"21g23d401aa01124"</f>
        <v>0</v>
      </c>
      <c r="L1034">
        <v>36000</v>
      </c>
      <c r="M1034"/>
      <c r="N1034" t="s">
        <v>38</v>
      </c>
      <c r="O1034" t="s">
        <v>38</v>
      </c>
      <c r="P1034" t="s">
        <v>53</v>
      </c>
      <c r="Q1034" t="s">
        <v>38</v>
      </c>
      <c r="R1034" t="s">
        <v>38</v>
      </c>
      <c r="S1034" t="s">
        <v>42</v>
      </c>
      <c r="T1034" t="s">
        <v>42</v>
      </c>
      <c r="U1034" t="s">
        <v>1106</v>
      </c>
      <c r="V1034" t="s">
        <v>1068</v>
      </c>
      <c r="W1034" t="s">
        <v>1106</v>
      </c>
      <c r="X1034" t="s">
        <v>824</v>
      </c>
      <c r="Y1034" t="s">
        <v>1130</v>
      </c>
      <c r="Z1034" t="s">
        <v>47</v>
      </c>
      <c r="AA1034"/>
      <c r="AB1034"/>
      <c r="AC1034"/>
      <c r="AD1034" t="s">
        <v>638</v>
      </c>
    </row>
    <row r="1035" spans="1:30">
      <c r="A1035">
        <v>4110020037</v>
      </c>
      <c r="B1035" t="s">
        <v>30</v>
      </c>
      <c r="C1035" t="s">
        <v>88</v>
      </c>
      <c r="D1035" t="s">
        <v>111</v>
      </c>
      <c r="E1035" t="s">
        <v>112</v>
      </c>
      <c r="F1035" t="s">
        <v>64</v>
      </c>
      <c r="G1035" t="s">
        <v>99</v>
      </c>
      <c r="H1035" t="s">
        <v>50</v>
      </c>
      <c r="I1035" t="s">
        <v>375</v>
      </c>
      <c r="J1035" t="s">
        <v>949</v>
      </c>
      <c r="K1035" t="str">
        <f>"n/a"</f>
        <v>0</v>
      </c>
      <c r="L1035">
        <v>36000</v>
      </c>
      <c r="M1035"/>
      <c r="N1035" t="s">
        <v>38</v>
      </c>
      <c r="O1035" t="s">
        <v>38</v>
      </c>
      <c r="P1035" t="s">
        <v>53</v>
      </c>
      <c r="Q1035" t="s">
        <v>38</v>
      </c>
      <c r="R1035" t="s">
        <v>38</v>
      </c>
      <c r="S1035" t="s">
        <v>42</v>
      </c>
      <c r="T1035" t="s">
        <v>42</v>
      </c>
      <c r="U1035" t="s">
        <v>1106</v>
      </c>
      <c r="V1035" t="s">
        <v>1068</v>
      </c>
      <c r="W1035" t="s">
        <v>1106</v>
      </c>
      <c r="X1035" t="s">
        <v>824</v>
      </c>
      <c r="Y1035" t="s">
        <v>1130</v>
      </c>
      <c r="Z1035" t="s">
        <v>47</v>
      </c>
      <c r="AA1035"/>
      <c r="AB1035"/>
      <c r="AC1035"/>
      <c r="AD1035" t="s">
        <v>638</v>
      </c>
    </row>
    <row r="1036" spans="1:30">
      <c r="A1036">
        <v>4110020038</v>
      </c>
      <c r="B1036" t="s">
        <v>30</v>
      </c>
      <c r="C1036" t="s">
        <v>88</v>
      </c>
      <c r="D1036" t="s">
        <v>111</v>
      </c>
      <c r="E1036" t="s">
        <v>112</v>
      </c>
      <c r="F1036" t="s">
        <v>64</v>
      </c>
      <c r="G1036" t="s">
        <v>99</v>
      </c>
      <c r="H1036" t="s">
        <v>50</v>
      </c>
      <c r="I1036" t="s">
        <v>375</v>
      </c>
      <c r="J1036" t="s">
        <v>949</v>
      </c>
      <c r="K1036" t="str">
        <f>"n/a"</f>
        <v>0</v>
      </c>
      <c r="L1036">
        <v>36000</v>
      </c>
      <c r="M1036"/>
      <c r="N1036" t="s">
        <v>38</v>
      </c>
      <c r="O1036" t="s">
        <v>38</v>
      </c>
      <c r="P1036" t="s">
        <v>53</v>
      </c>
      <c r="Q1036" t="s">
        <v>38</v>
      </c>
      <c r="R1036" t="s">
        <v>38</v>
      </c>
      <c r="S1036" t="s">
        <v>42</v>
      </c>
      <c r="T1036" t="s">
        <v>42</v>
      </c>
      <c r="U1036" t="s">
        <v>1106</v>
      </c>
      <c r="V1036" t="s">
        <v>1068</v>
      </c>
      <c r="W1036" t="s">
        <v>1106</v>
      </c>
      <c r="X1036" t="s">
        <v>824</v>
      </c>
      <c r="Y1036" t="s">
        <v>1130</v>
      </c>
      <c r="Z1036" t="s">
        <v>47</v>
      </c>
      <c r="AA1036"/>
      <c r="AB1036"/>
      <c r="AC1036"/>
      <c r="AD1036" t="s">
        <v>638</v>
      </c>
    </row>
    <row r="1037" spans="1:30">
      <c r="A1037">
        <v>4110020039</v>
      </c>
      <c r="B1037" t="s">
        <v>30</v>
      </c>
      <c r="C1037" t="s">
        <v>88</v>
      </c>
      <c r="D1037" t="s">
        <v>111</v>
      </c>
      <c r="E1037" t="s">
        <v>112</v>
      </c>
      <c r="F1037" t="s">
        <v>64</v>
      </c>
      <c r="G1037" t="s">
        <v>99</v>
      </c>
      <c r="H1037" t="s">
        <v>50</v>
      </c>
      <c r="I1037" t="s">
        <v>375</v>
      </c>
      <c r="J1037" t="s">
        <v>949</v>
      </c>
      <c r="K1037" t="str">
        <f>"n/a"</f>
        <v>0</v>
      </c>
      <c r="L1037">
        <v>36000</v>
      </c>
      <c r="M1037"/>
      <c r="N1037" t="s">
        <v>38</v>
      </c>
      <c r="O1037" t="s">
        <v>38</v>
      </c>
      <c r="P1037" t="s">
        <v>53</v>
      </c>
      <c r="Q1037" t="s">
        <v>38</v>
      </c>
      <c r="R1037" t="s">
        <v>38</v>
      </c>
      <c r="S1037" t="s">
        <v>42</v>
      </c>
      <c r="T1037" t="s">
        <v>42</v>
      </c>
      <c r="U1037" t="s">
        <v>1106</v>
      </c>
      <c r="V1037" t="s">
        <v>1068</v>
      </c>
      <c r="W1037" t="s">
        <v>1106</v>
      </c>
      <c r="X1037" t="s">
        <v>824</v>
      </c>
      <c r="Y1037" t="s">
        <v>1130</v>
      </c>
      <c r="Z1037" t="s">
        <v>47</v>
      </c>
      <c r="AA1037"/>
      <c r="AB1037"/>
      <c r="AC1037"/>
      <c r="AD1037" t="s">
        <v>638</v>
      </c>
    </row>
    <row r="1038" spans="1:30">
      <c r="A1038">
        <v>4110020040</v>
      </c>
      <c r="B1038" t="s">
        <v>30</v>
      </c>
      <c r="C1038" t="s">
        <v>88</v>
      </c>
      <c r="D1038" t="s">
        <v>111</v>
      </c>
      <c r="E1038" t="s">
        <v>112</v>
      </c>
      <c r="F1038" t="s">
        <v>64</v>
      </c>
      <c r="G1038" t="s">
        <v>99</v>
      </c>
      <c r="H1038" t="s">
        <v>50</v>
      </c>
      <c r="I1038" t="s">
        <v>375</v>
      </c>
      <c r="J1038" t="s">
        <v>949</v>
      </c>
      <c r="K1038" t="str">
        <f>"n/a"</f>
        <v>0</v>
      </c>
      <c r="L1038">
        <v>36000</v>
      </c>
      <c r="M1038"/>
      <c r="N1038" t="s">
        <v>38</v>
      </c>
      <c r="O1038" t="s">
        <v>38</v>
      </c>
      <c r="P1038" t="s">
        <v>53</v>
      </c>
      <c r="Q1038" t="s">
        <v>38</v>
      </c>
      <c r="R1038" t="s">
        <v>38</v>
      </c>
      <c r="S1038" t="s">
        <v>42</v>
      </c>
      <c r="T1038" t="s">
        <v>42</v>
      </c>
      <c r="U1038" t="s">
        <v>1106</v>
      </c>
      <c r="V1038" t="s">
        <v>1068</v>
      </c>
      <c r="W1038" t="s">
        <v>1106</v>
      </c>
      <c r="X1038" t="s">
        <v>824</v>
      </c>
      <c r="Y1038" t="s">
        <v>1130</v>
      </c>
      <c r="Z1038" t="s">
        <v>47</v>
      </c>
      <c r="AA1038"/>
      <c r="AB1038"/>
      <c r="AC1038"/>
      <c r="AD1038" t="s">
        <v>638</v>
      </c>
    </row>
    <row r="1039" spans="1:30">
      <c r="A1039">
        <v>4110020041</v>
      </c>
      <c r="B1039" t="s">
        <v>30</v>
      </c>
      <c r="C1039" t="s">
        <v>88</v>
      </c>
      <c r="D1039" t="s">
        <v>111</v>
      </c>
      <c r="E1039" t="s">
        <v>112</v>
      </c>
      <c r="F1039" t="s">
        <v>64</v>
      </c>
      <c r="G1039" t="s">
        <v>99</v>
      </c>
      <c r="H1039" t="s">
        <v>50</v>
      </c>
      <c r="I1039" t="s">
        <v>102</v>
      </c>
      <c r="J1039" t="s">
        <v>374</v>
      </c>
      <c r="K1039" t="str">
        <f>"ma21050582129"</f>
        <v>0</v>
      </c>
      <c r="L1039">
        <v>77650</v>
      </c>
      <c r="M1039"/>
      <c r="N1039" t="s">
        <v>38</v>
      </c>
      <c r="O1039" t="s">
        <v>38</v>
      </c>
      <c r="P1039" t="s">
        <v>53</v>
      </c>
      <c r="Q1039" t="s">
        <v>38</v>
      </c>
      <c r="R1039" t="s">
        <v>38</v>
      </c>
      <c r="S1039" t="s">
        <v>42</v>
      </c>
      <c r="T1039" t="s">
        <v>42</v>
      </c>
      <c r="U1039" t="s">
        <v>1106</v>
      </c>
      <c r="V1039" t="s">
        <v>1068</v>
      </c>
      <c r="W1039" t="s">
        <v>1106</v>
      </c>
      <c r="X1039" t="s">
        <v>824</v>
      </c>
      <c r="Y1039" t="s">
        <v>1130</v>
      </c>
      <c r="Z1039" t="s">
        <v>47</v>
      </c>
      <c r="AA1039"/>
      <c r="AB1039"/>
      <c r="AC1039"/>
      <c r="AD1039" t="s">
        <v>638</v>
      </c>
    </row>
    <row r="1040" spans="1:30">
      <c r="A1040">
        <v>4110020042</v>
      </c>
      <c r="B1040" t="s">
        <v>30</v>
      </c>
      <c r="C1040" t="s">
        <v>88</v>
      </c>
      <c r="D1040" t="s">
        <v>111</v>
      </c>
      <c r="E1040" t="s">
        <v>112</v>
      </c>
      <c r="F1040" t="s">
        <v>64</v>
      </c>
      <c r="G1040" t="s">
        <v>99</v>
      </c>
      <c r="H1040" t="s">
        <v>50</v>
      </c>
      <c r="I1040" t="s">
        <v>102</v>
      </c>
      <c r="J1040" t="s">
        <v>374</v>
      </c>
      <c r="K1040" t="str">
        <f>"ma21050561780"</f>
        <v>0</v>
      </c>
      <c r="L1040">
        <v>77650</v>
      </c>
      <c r="M1040"/>
      <c r="N1040" t="s">
        <v>38</v>
      </c>
      <c r="O1040" t="s">
        <v>38</v>
      </c>
      <c r="P1040" t="s">
        <v>53</v>
      </c>
      <c r="Q1040" t="s">
        <v>38</v>
      </c>
      <c r="R1040" t="s">
        <v>38</v>
      </c>
      <c r="S1040" t="s">
        <v>42</v>
      </c>
      <c r="T1040" t="s">
        <v>42</v>
      </c>
      <c r="U1040" t="s">
        <v>1106</v>
      </c>
      <c r="V1040" t="s">
        <v>1068</v>
      </c>
      <c r="W1040" t="s">
        <v>1106</v>
      </c>
      <c r="X1040" t="s">
        <v>824</v>
      </c>
      <c r="Y1040" t="s">
        <v>1130</v>
      </c>
      <c r="Z1040" t="s">
        <v>47</v>
      </c>
      <c r="AA1040"/>
      <c r="AB1040"/>
      <c r="AC1040"/>
      <c r="AD1040" t="s">
        <v>638</v>
      </c>
    </row>
    <row r="1041" spans="1:30">
      <c r="A1041">
        <v>4110020043</v>
      </c>
      <c r="B1041" t="s">
        <v>30</v>
      </c>
      <c r="C1041" t="s">
        <v>88</v>
      </c>
      <c r="D1041" t="s">
        <v>111</v>
      </c>
      <c r="E1041" t="s">
        <v>112</v>
      </c>
      <c r="F1041" t="s">
        <v>64</v>
      </c>
      <c r="G1041" t="s">
        <v>99</v>
      </c>
      <c r="H1041" t="s">
        <v>50</v>
      </c>
      <c r="I1041" t="s">
        <v>102</v>
      </c>
      <c r="J1041" t="s">
        <v>374</v>
      </c>
      <c r="K1041" t="str">
        <f>"ma21050561600"</f>
        <v>0</v>
      </c>
      <c r="L1041">
        <v>77650</v>
      </c>
      <c r="M1041"/>
      <c r="N1041" t="s">
        <v>38</v>
      </c>
      <c r="O1041" t="s">
        <v>38</v>
      </c>
      <c r="P1041" t="s">
        <v>53</v>
      </c>
      <c r="Q1041" t="s">
        <v>38</v>
      </c>
      <c r="R1041" t="s">
        <v>38</v>
      </c>
      <c r="S1041" t="s">
        <v>42</v>
      </c>
      <c r="T1041" t="s">
        <v>42</v>
      </c>
      <c r="U1041" t="s">
        <v>1106</v>
      </c>
      <c r="V1041" t="s">
        <v>1068</v>
      </c>
      <c r="W1041" t="s">
        <v>1106</v>
      </c>
      <c r="X1041" t="s">
        <v>824</v>
      </c>
      <c r="Y1041" t="s">
        <v>1130</v>
      </c>
      <c r="Z1041" t="s">
        <v>47</v>
      </c>
      <c r="AA1041"/>
      <c r="AB1041"/>
      <c r="AC1041"/>
      <c r="AD1041" t="s">
        <v>638</v>
      </c>
    </row>
    <row r="1042" spans="1:30">
      <c r="A1042">
        <v>4110020044</v>
      </c>
      <c r="B1042" t="s">
        <v>30</v>
      </c>
      <c r="C1042" t="s">
        <v>88</v>
      </c>
      <c r="D1042" t="s">
        <v>111</v>
      </c>
      <c r="E1042" t="s">
        <v>112</v>
      </c>
      <c r="F1042" t="s">
        <v>64</v>
      </c>
      <c r="G1042" t="s">
        <v>99</v>
      </c>
      <c r="H1042" t="s">
        <v>50</v>
      </c>
      <c r="I1042" t="s">
        <v>102</v>
      </c>
      <c r="J1042" t="s">
        <v>374</v>
      </c>
      <c r="K1042" t="str">
        <f>"ma21050561696"</f>
        <v>0</v>
      </c>
      <c r="L1042">
        <v>77650</v>
      </c>
      <c r="M1042"/>
      <c r="N1042" t="s">
        <v>38</v>
      </c>
      <c r="O1042" t="s">
        <v>38</v>
      </c>
      <c r="P1042" t="s">
        <v>53</v>
      </c>
      <c r="Q1042" t="s">
        <v>38</v>
      </c>
      <c r="R1042" t="s">
        <v>38</v>
      </c>
      <c r="S1042" t="s">
        <v>42</v>
      </c>
      <c r="T1042" t="s">
        <v>42</v>
      </c>
      <c r="U1042" t="s">
        <v>1106</v>
      </c>
      <c r="V1042" t="s">
        <v>1068</v>
      </c>
      <c r="W1042" t="s">
        <v>1106</v>
      </c>
      <c r="X1042" t="s">
        <v>824</v>
      </c>
      <c r="Y1042" t="s">
        <v>1130</v>
      </c>
      <c r="Z1042" t="s">
        <v>47</v>
      </c>
      <c r="AA1042"/>
      <c r="AB1042"/>
      <c r="AC1042"/>
      <c r="AD1042" t="s">
        <v>638</v>
      </c>
    </row>
    <row r="1043" spans="1:30">
      <c r="A1043">
        <v>4110020046</v>
      </c>
      <c r="B1043" t="s">
        <v>30</v>
      </c>
      <c r="C1043" t="s">
        <v>88</v>
      </c>
      <c r="D1043" t="s">
        <v>111</v>
      </c>
      <c r="E1043" t="s">
        <v>112</v>
      </c>
      <c r="F1043" t="s">
        <v>64</v>
      </c>
      <c r="G1043" t="s">
        <v>99</v>
      </c>
      <c r="H1043" t="s">
        <v>50</v>
      </c>
      <c r="I1043" t="s">
        <v>102</v>
      </c>
      <c r="J1043" t="s">
        <v>374</v>
      </c>
      <c r="K1043" t="str">
        <f>"ma21050561360"</f>
        <v>0</v>
      </c>
      <c r="L1043">
        <v>77650</v>
      </c>
      <c r="M1043"/>
      <c r="N1043" t="s">
        <v>38</v>
      </c>
      <c r="O1043" t="s">
        <v>38</v>
      </c>
      <c r="P1043" t="s">
        <v>53</v>
      </c>
      <c r="Q1043" t="s">
        <v>38</v>
      </c>
      <c r="R1043" t="s">
        <v>38</v>
      </c>
      <c r="S1043" t="s">
        <v>42</v>
      </c>
      <c r="T1043" t="s">
        <v>42</v>
      </c>
      <c r="U1043" t="s">
        <v>1106</v>
      </c>
      <c r="V1043" t="s">
        <v>1068</v>
      </c>
      <c r="W1043" t="s">
        <v>1106</v>
      </c>
      <c r="X1043" t="s">
        <v>824</v>
      </c>
      <c r="Y1043" t="s">
        <v>1130</v>
      </c>
      <c r="Z1043" t="s">
        <v>47</v>
      </c>
      <c r="AA1043"/>
      <c r="AB1043"/>
      <c r="AC1043"/>
      <c r="AD1043" t="s">
        <v>638</v>
      </c>
    </row>
    <row r="1044" spans="1:30">
      <c r="A1044">
        <v>4110020045</v>
      </c>
      <c r="B1044" t="s">
        <v>30</v>
      </c>
      <c r="C1044" t="s">
        <v>88</v>
      </c>
      <c r="D1044" t="s">
        <v>111</v>
      </c>
      <c r="E1044" t="s">
        <v>112</v>
      </c>
      <c r="F1044" t="s">
        <v>64</v>
      </c>
      <c r="G1044" t="s">
        <v>99</v>
      </c>
      <c r="H1044" t="s">
        <v>50</v>
      </c>
      <c r="I1044" t="s">
        <v>102</v>
      </c>
      <c r="J1044" t="s">
        <v>374</v>
      </c>
      <c r="K1044" t="str">
        <f>"ma21050561613"</f>
        <v>0</v>
      </c>
      <c r="L1044">
        <v>77650</v>
      </c>
      <c r="M1044"/>
      <c r="N1044" t="s">
        <v>38</v>
      </c>
      <c r="O1044" t="s">
        <v>38</v>
      </c>
      <c r="P1044" t="s">
        <v>53</v>
      </c>
      <c r="Q1044" t="s">
        <v>38</v>
      </c>
      <c r="R1044" t="s">
        <v>38</v>
      </c>
      <c r="S1044" t="s">
        <v>42</v>
      </c>
      <c r="T1044" t="s">
        <v>42</v>
      </c>
      <c r="U1044" t="s">
        <v>1106</v>
      </c>
      <c r="V1044" t="s">
        <v>1068</v>
      </c>
      <c r="W1044" t="s">
        <v>1106</v>
      </c>
      <c r="X1044" t="s">
        <v>824</v>
      </c>
      <c r="Y1044" t="s">
        <v>1130</v>
      </c>
      <c r="Z1044" t="s">
        <v>47</v>
      </c>
      <c r="AA1044"/>
      <c r="AB1044"/>
      <c r="AC1044"/>
      <c r="AD1044" t="s">
        <v>638</v>
      </c>
    </row>
    <row r="1045" spans="1:30">
      <c r="A1045">
        <v>4110020047</v>
      </c>
      <c r="B1045" t="s">
        <v>30</v>
      </c>
      <c r="C1045" t="s">
        <v>88</v>
      </c>
      <c r="D1045" t="s">
        <v>111</v>
      </c>
      <c r="E1045" t="s">
        <v>112</v>
      </c>
      <c r="F1045" t="s">
        <v>64</v>
      </c>
      <c r="G1045" t="s">
        <v>99</v>
      </c>
      <c r="H1045" t="s">
        <v>50</v>
      </c>
      <c r="I1045" t="s">
        <v>102</v>
      </c>
      <c r="J1045" t="s">
        <v>374</v>
      </c>
      <c r="K1045" t="str">
        <f>"ma21050561970"</f>
        <v>0</v>
      </c>
      <c r="L1045">
        <v>77650</v>
      </c>
      <c r="M1045"/>
      <c r="N1045" t="s">
        <v>38</v>
      </c>
      <c r="O1045" t="s">
        <v>38</v>
      </c>
      <c r="P1045" t="s">
        <v>53</v>
      </c>
      <c r="Q1045" t="s">
        <v>38</v>
      </c>
      <c r="R1045" t="s">
        <v>38</v>
      </c>
      <c r="S1045" t="s">
        <v>42</v>
      </c>
      <c r="T1045" t="s">
        <v>42</v>
      </c>
      <c r="U1045" t="s">
        <v>1106</v>
      </c>
      <c r="V1045" t="s">
        <v>1068</v>
      </c>
      <c r="W1045" t="s">
        <v>1106</v>
      </c>
      <c r="X1045" t="s">
        <v>824</v>
      </c>
      <c r="Y1045" t="s">
        <v>1130</v>
      </c>
      <c r="Z1045" t="s">
        <v>47</v>
      </c>
      <c r="AA1045"/>
      <c r="AB1045"/>
      <c r="AC1045"/>
      <c r="AD1045" t="s">
        <v>638</v>
      </c>
    </row>
    <row r="1046" spans="1:30">
      <c r="A1046">
        <v>4110020048</v>
      </c>
      <c r="B1046" t="s">
        <v>30</v>
      </c>
      <c r="C1046" t="s">
        <v>88</v>
      </c>
      <c r="D1046" t="s">
        <v>111</v>
      </c>
      <c r="E1046" t="s">
        <v>112</v>
      </c>
      <c r="F1046" t="s">
        <v>64</v>
      </c>
      <c r="G1046" t="s">
        <v>99</v>
      </c>
      <c r="H1046" t="s">
        <v>50</v>
      </c>
      <c r="I1046" t="s">
        <v>102</v>
      </c>
      <c r="J1046" t="s">
        <v>374</v>
      </c>
      <c r="K1046" t="str">
        <f>"ma21050580148"</f>
        <v>0</v>
      </c>
      <c r="L1046">
        <v>77650</v>
      </c>
      <c r="M1046"/>
      <c r="N1046" t="s">
        <v>38</v>
      </c>
      <c r="O1046" t="s">
        <v>38</v>
      </c>
      <c r="P1046" t="s">
        <v>53</v>
      </c>
      <c r="Q1046" t="s">
        <v>38</v>
      </c>
      <c r="R1046" t="s">
        <v>38</v>
      </c>
      <c r="S1046" t="s">
        <v>42</v>
      </c>
      <c r="T1046" t="s">
        <v>42</v>
      </c>
      <c r="U1046" t="s">
        <v>1106</v>
      </c>
      <c r="V1046" t="s">
        <v>1068</v>
      </c>
      <c r="W1046" t="s">
        <v>1106</v>
      </c>
      <c r="X1046" t="s">
        <v>824</v>
      </c>
      <c r="Y1046" t="s">
        <v>1130</v>
      </c>
      <c r="Z1046" t="s">
        <v>47</v>
      </c>
      <c r="AA1046"/>
      <c r="AB1046"/>
      <c r="AC1046"/>
      <c r="AD1046" t="s">
        <v>638</v>
      </c>
    </row>
    <row r="1047" spans="1:30">
      <c r="A1047">
        <v>4110020049</v>
      </c>
      <c r="B1047" t="s">
        <v>30</v>
      </c>
      <c r="C1047" t="s">
        <v>88</v>
      </c>
      <c r="D1047" t="s">
        <v>111</v>
      </c>
      <c r="E1047" t="s">
        <v>112</v>
      </c>
      <c r="F1047" t="s">
        <v>64</v>
      </c>
      <c r="G1047" t="s">
        <v>99</v>
      </c>
      <c r="H1047" t="s">
        <v>50</v>
      </c>
      <c r="I1047" t="s">
        <v>102</v>
      </c>
      <c r="J1047" t="s">
        <v>374</v>
      </c>
      <c r="K1047" t="str">
        <f>"ma21050582113"</f>
        <v>0</v>
      </c>
      <c r="L1047">
        <v>77650</v>
      </c>
      <c r="M1047"/>
      <c r="N1047" t="s">
        <v>38</v>
      </c>
      <c r="O1047" t="s">
        <v>38</v>
      </c>
      <c r="P1047" t="s">
        <v>53</v>
      </c>
      <c r="Q1047" t="s">
        <v>38</v>
      </c>
      <c r="R1047" t="s">
        <v>38</v>
      </c>
      <c r="S1047" t="s">
        <v>42</v>
      </c>
      <c r="T1047" t="s">
        <v>42</v>
      </c>
      <c r="U1047" t="s">
        <v>1106</v>
      </c>
      <c r="V1047" t="s">
        <v>1068</v>
      </c>
      <c r="W1047" t="s">
        <v>1106</v>
      </c>
      <c r="X1047" t="s">
        <v>824</v>
      </c>
      <c r="Y1047" t="s">
        <v>1130</v>
      </c>
      <c r="Z1047" t="s">
        <v>47</v>
      </c>
      <c r="AA1047"/>
      <c r="AB1047"/>
      <c r="AC1047"/>
      <c r="AD1047" t="s">
        <v>638</v>
      </c>
    </row>
    <row r="1048" spans="1:30">
      <c r="A1048">
        <v>4110020050</v>
      </c>
      <c r="B1048" t="s">
        <v>30</v>
      </c>
      <c r="C1048" t="s">
        <v>88</v>
      </c>
      <c r="D1048" t="s">
        <v>111</v>
      </c>
      <c r="E1048" t="s">
        <v>112</v>
      </c>
      <c r="F1048" t="s">
        <v>64</v>
      </c>
      <c r="G1048" t="s">
        <v>99</v>
      </c>
      <c r="H1048" t="s">
        <v>50</v>
      </c>
      <c r="I1048" t="s">
        <v>102</v>
      </c>
      <c r="J1048" t="s">
        <v>374</v>
      </c>
      <c r="K1048" t="str">
        <f>"ma21050580074"</f>
        <v>0</v>
      </c>
      <c r="L1048">
        <v>77650</v>
      </c>
      <c r="M1048"/>
      <c r="N1048" t="s">
        <v>38</v>
      </c>
      <c r="O1048" t="s">
        <v>38</v>
      </c>
      <c r="P1048" t="s">
        <v>53</v>
      </c>
      <c r="Q1048" t="s">
        <v>38</v>
      </c>
      <c r="R1048" t="s">
        <v>38</v>
      </c>
      <c r="S1048" t="s">
        <v>42</v>
      </c>
      <c r="T1048" t="s">
        <v>42</v>
      </c>
      <c r="U1048" t="s">
        <v>1106</v>
      </c>
      <c r="V1048" t="s">
        <v>1068</v>
      </c>
      <c r="W1048" t="s">
        <v>1106</v>
      </c>
      <c r="X1048" t="s">
        <v>824</v>
      </c>
      <c r="Y1048" t="s">
        <v>1130</v>
      </c>
      <c r="Z1048" t="s">
        <v>47</v>
      </c>
      <c r="AA1048"/>
      <c r="AB1048"/>
      <c r="AC1048"/>
      <c r="AD1048" t="s">
        <v>638</v>
      </c>
    </row>
    <row r="1049" spans="1:30">
      <c r="A1049">
        <v>4110020051</v>
      </c>
      <c r="B1049" t="s">
        <v>30</v>
      </c>
      <c r="C1049" t="s">
        <v>88</v>
      </c>
      <c r="D1049" t="s">
        <v>111</v>
      </c>
      <c r="E1049" t="s">
        <v>112</v>
      </c>
      <c r="F1049" t="s">
        <v>64</v>
      </c>
      <c r="G1049" t="s">
        <v>99</v>
      </c>
      <c r="H1049" t="s">
        <v>50</v>
      </c>
      <c r="I1049" t="s">
        <v>102</v>
      </c>
      <c r="J1049" t="s">
        <v>374</v>
      </c>
      <c r="K1049" t="str">
        <f>"ma21050581227"</f>
        <v>0</v>
      </c>
      <c r="L1049">
        <v>77650</v>
      </c>
      <c r="M1049"/>
      <c r="N1049" t="s">
        <v>38</v>
      </c>
      <c r="O1049" t="s">
        <v>38</v>
      </c>
      <c r="P1049" t="s">
        <v>53</v>
      </c>
      <c r="Q1049" t="s">
        <v>38</v>
      </c>
      <c r="R1049" t="s">
        <v>38</v>
      </c>
      <c r="S1049" t="s">
        <v>42</v>
      </c>
      <c r="T1049" t="s">
        <v>42</v>
      </c>
      <c r="U1049" t="s">
        <v>1106</v>
      </c>
      <c r="V1049" t="s">
        <v>1068</v>
      </c>
      <c r="W1049" t="s">
        <v>1106</v>
      </c>
      <c r="X1049" t="s">
        <v>824</v>
      </c>
      <c r="Y1049" t="s">
        <v>1130</v>
      </c>
      <c r="Z1049" t="s">
        <v>47</v>
      </c>
      <c r="AA1049"/>
      <c r="AB1049"/>
      <c r="AC1049"/>
      <c r="AD1049" t="s">
        <v>638</v>
      </c>
    </row>
    <row r="1050" spans="1:30">
      <c r="A1050">
        <v>4110020053</v>
      </c>
      <c r="B1050" t="s">
        <v>30</v>
      </c>
      <c r="C1050" t="s">
        <v>88</v>
      </c>
      <c r="D1050" t="s">
        <v>111</v>
      </c>
      <c r="E1050" t="s">
        <v>112</v>
      </c>
      <c r="F1050" t="s">
        <v>64</v>
      </c>
      <c r="G1050" t="s">
        <v>99</v>
      </c>
      <c r="H1050" t="s">
        <v>50</v>
      </c>
      <c r="I1050" t="s">
        <v>102</v>
      </c>
      <c r="J1050" t="s">
        <v>374</v>
      </c>
      <c r="K1050" t="str">
        <f>"ma21050582125"</f>
        <v>0</v>
      </c>
      <c r="L1050">
        <v>77650</v>
      </c>
      <c r="M1050"/>
      <c r="N1050" t="s">
        <v>38</v>
      </c>
      <c r="O1050" t="s">
        <v>38</v>
      </c>
      <c r="P1050" t="s">
        <v>53</v>
      </c>
      <c r="Q1050" t="s">
        <v>38</v>
      </c>
      <c r="R1050" t="s">
        <v>38</v>
      </c>
      <c r="S1050" t="s">
        <v>42</v>
      </c>
      <c r="T1050" t="s">
        <v>42</v>
      </c>
      <c r="U1050" t="s">
        <v>1106</v>
      </c>
      <c r="V1050" t="s">
        <v>1068</v>
      </c>
      <c r="W1050" t="s">
        <v>1106</v>
      </c>
      <c r="X1050" t="s">
        <v>824</v>
      </c>
      <c r="Y1050" t="s">
        <v>1130</v>
      </c>
      <c r="Z1050" t="s">
        <v>47</v>
      </c>
      <c r="AA1050"/>
      <c r="AB1050"/>
      <c r="AC1050"/>
      <c r="AD1050" t="s">
        <v>638</v>
      </c>
    </row>
    <row r="1051" spans="1:30">
      <c r="A1051">
        <v>4110020052</v>
      </c>
      <c r="B1051" t="s">
        <v>30</v>
      </c>
      <c r="C1051" t="s">
        <v>88</v>
      </c>
      <c r="D1051" t="s">
        <v>111</v>
      </c>
      <c r="E1051" t="s">
        <v>112</v>
      </c>
      <c r="F1051" t="s">
        <v>64</v>
      </c>
      <c r="G1051" t="s">
        <v>99</v>
      </c>
      <c r="H1051" t="s">
        <v>50</v>
      </c>
      <c r="I1051" t="s">
        <v>102</v>
      </c>
      <c r="J1051" t="s">
        <v>374</v>
      </c>
      <c r="K1051" t="str">
        <f>"ma21050582115"</f>
        <v>0</v>
      </c>
      <c r="L1051">
        <v>77650</v>
      </c>
      <c r="M1051"/>
      <c r="N1051" t="s">
        <v>38</v>
      </c>
      <c r="O1051" t="s">
        <v>38</v>
      </c>
      <c r="P1051" t="s">
        <v>53</v>
      </c>
      <c r="Q1051" t="s">
        <v>38</v>
      </c>
      <c r="R1051" t="s">
        <v>38</v>
      </c>
      <c r="S1051" t="s">
        <v>42</v>
      </c>
      <c r="T1051" t="s">
        <v>42</v>
      </c>
      <c r="U1051" t="s">
        <v>1106</v>
      </c>
      <c r="V1051" t="s">
        <v>1068</v>
      </c>
      <c r="W1051" t="s">
        <v>1106</v>
      </c>
      <c r="X1051" t="s">
        <v>824</v>
      </c>
      <c r="Y1051" t="s">
        <v>1130</v>
      </c>
      <c r="Z1051" t="s">
        <v>47</v>
      </c>
      <c r="AA1051"/>
      <c r="AB1051"/>
      <c r="AC1051"/>
      <c r="AD1051" t="s">
        <v>638</v>
      </c>
    </row>
    <row r="1052" spans="1:30">
      <c r="A1052">
        <v>4110020054</v>
      </c>
      <c r="B1052" t="s">
        <v>30</v>
      </c>
      <c r="C1052" t="s">
        <v>88</v>
      </c>
      <c r="D1052" t="s">
        <v>111</v>
      </c>
      <c r="E1052" t="s">
        <v>112</v>
      </c>
      <c r="F1052" t="s">
        <v>64</v>
      </c>
      <c r="G1052" t="s">
        <v>99</v>
      </c>
      <c r="H1052" t="s">
        <v>50</v>
      </c>
      <c r="I1052" t="s">
        <v>102</v>
      </c>
      <c r="J1052" t="s">
        <v>374</v>
      </c>
      <c r="K1052" t="str">
        <f>"ma21050581222"</f>
        <v>0</v>
      </c>
      <c r="L1052">
        <v>77650</v>
      </c>
      <c r="M1052"/>
      <c r="N1052" t="s">
        <v>38</v>
      </c>
      <c r="O1052" t="s">
        <v>38</v>
      </c>
      <c r="P1052" t="s">
        <v>53</v>
      </c>
      <c r="Q1052" t="s">
        <v>38</v>
      </c>
      <c r="R1052" t="s">
        <v>38</v>
      </c>
      <c r="S1052" t="s">
        <v>42</v>
      </c>
      <c r="T1052" t="s">
        <v>42</v>
      </c>
      <c r="U1052" t="s">
        <v>1106</v>
      </c>
      <c r="V1052" t="s">
        <v>1068</v>
      </c>
      <c r="W1052" t="s">
        <v>1106</v>
      </c>
      <c r="X1052" t="s">
        <v>824</v>
      </c>
      <c r="Y1052" t="s">
        <v>1130</v>
      </c>
      <c r="Z1052" t="s">
        <v>47</v>
      </c>
      <c r="AA1052"/>
      <c r="AB1052"/>
      <c r="AC1052"/>
      <c r="AD1052" t="s">
        <v>638</v>
      </c>
    </row>
    <row r="1053" spans="1:30">
      <c r="A1053">
        <v>4110020055</v>
      </c>
      <c r="B1053" t="s">
        <v>30</v>
      </c>
      <c r="C1053" t="s">
        <v>88</v>
      </c>
      <c r="D1053" t="s">
        <v>111</v>
      </c>
      <c r="E1053" t="s">
        <v>112</v>
      </c>
      <c r="F1053" t="s">
        <v>64</v>
      </c>
      <c r="G1053" t="s">
        <v>99</v>
      </c>
      <c r="H1053" t="s">
        <v>50</v>
      </c>
      <c r="I1053" t="s">
        <v>102</v>
      </c>
      <c r="J1053" t="s">
        <v>374</v>
      </c>
      <c r="K1053" t="str">
        <f>"ma21050580991"</f>
        <v>0</v>
      </c>
      <c r="L1053">
        <v>77650</v>
      </c>
      <c r="M1053"/>
      <c r="N1053" t="s">
        <v>38</v>
      </c>
      <c r="O1053" t="s">
        <v>38</v>
      </c>
      <c r="P1053" t="s">
        <v>53</v>
      </c>
      <c r="Q1053" t="s">
        <v>38</v>
      </c>
      <c r="R1053" t="s">
        <v>38</v>
      </c>
      <c r="S1053" t="s">
        <v>42</v>
      </c>
      <c r="T1053" t="s">
        <v>42</v>
      </c>
      <c r="U1053" t="s">
        <v>1106</v>
      </c>
      <c r="V1053" t="s">
        <v>1068</v>
      </c>
      <c r="W1053" t="s">
        <v>1106</v>
      </c>
      <c r="X1053" t="s">
        <v>824</v>
      </c>
      <c r="Y1053" t="s">
        <v>1130</v>
      </c>
      <c r="Z1053" t="s">
        <v>47</v>
      </c>
      <c r="AA1053"/>
      <c r="AB1053"/>
      <c r="AC1053"/>
      <c r="AD1053" t="s">
        <v>638</v>
      </c>
    </row>
    <row r="1054" spans="1:30">
      <c r="A1054">
        <v>4110020056</v>
      </c>
      <c r="B1054" t="s">
        <v>30</v>
      </c>
      <c r="C1054" t="s">
        <v>88</v>
      </c>
      <c r="D1054" t="s">
        <v>111</v>
      </c>
      <c r="E1054" t="s">
        <v>112</v>
      </c>
      <c r="F1054" t="s">
        <v>64</v>
      </c>
      <c r="G1054" t="s">
        <v>99</v>
      </c>
      <c r="H1054" t="s">
        <v>50</v>
      </c>
      <c r="I1054" t="s">
        <v>102</v>
      </c>
      <c r="J1054" t="s">
        <v>374</v>
      </c>
      <c r="K1054" t="str">
        <f>"ma21050581720"</f>
        <v>0</v>
      </c>
      <c r="L1054">
        <v>77650</v>
      </c>
      <c r="M1054"/>
      <c r="N1054" t="s">
        <v>38</v>
      </c>
      <c r="O1054" t="s">
        <v>38</v>
      </c>
      <c r="P1054" t="s">
        <v>53</v>
      </c>
      <c r="Q1054" t="s">
        <v>38</v>
      </c>
      <c r="R1054" t="s">
        <v>38</v>
      </c>
      <c r="S1054" t="s">
        <v>42</v>
      </c>
      <c r="T1054" t="s">
        <v>42</v>
      </c>
      <c r="U1054" t="s">
        <v>1106</v>
      </c>
      <c r="V1054" t="s">
        <v>1068</v>
      </c>
      <c r="W1054" t="s">
        <v>1106</v>
      </c>
      <c r="X1054" t="s">
        <v>824</v>
      </c>
      <c r="Y1054" t="s">
        <v>1130</v>
      </c>
      <c r="Z1054" t="s">
        <v>47</v>
      </c>
      <c r="AA1054"/>
      <c r="AB1054"/>
      <c r="AC1054"/>
      <c r="AD1054" t="s">
        <v>638</v>
      </c>
    </row>
    <row r="1055" spans="1:30">
      <c r="A1055">
        <v>5110080002</v>
      </c>
      <c r="B1055" t="s">
        <v>30</v>
      </c>
      <c r="C1055" t="s">
        <v>88</v>
      </c>
      <c r="D1055" t="s">
        <v>89</v>
      </c>
      <c r="E1055" t="s">
        <v>152</v>
      </c>
      <c r="F1055" t="s">
        <v>152</v>
      </c>
      <c r="G1055" t="s">
        <v>723</v>
      </c>
      <c r="H1055" t="s">
        <v>50</v>
      </c>
      <c r="I1055" t="s">
        <v>912</v>
      </c>
      <c r="J1055" t="s">
        <v>59</v>
      </c>
      <c r="K1055" t="str">
        <f>"na"</f>
        <v>0</v>
      </c>
      <c r="L1055">
        <v>94500</v>
      </c>
      <c r="M1055"/>
      <c r="N1055" t="s">
        <v>38</v>
      </c>
      <c r="O1055" t="s">
        <v>38</v>
      </c>
      <c r="P1055" t="s">
        <v>53</v>
      </c>
      <c r="Q1055" t="s">
        <v>38</v>
      </c>
      <c r="R1055" t="s">
        <v>38</v>
      </c>
      <c r="S1055" t="s">
        <v>42</v>
      </c>
      <c r="T1055" t="s">
        <v>42</v>
      </c>
      <c r="U1055" t="s">
        <v>1132</v>
      </c>
      <c r="V1055" t="s">
        <v>1110</v>
      </c>
      <c r="W1055" t="s">
        <v>1132</v>
      </c>
      <c r="X1055" t="s">
        <v>824</v>
      </c>
      <c r="Y1055" t="s">
        <v>1129</v>
      </c>
      <c r="Z1055" t="s">
        <v>47</v>
      </c>
      <c r="AA1055"/>
      <c r="AB1055"/>
      <c r="AC1055"/>
      <c r="AD1055"/>
    </row>
    <row r="1056" spans="1:30">
      <c r="A1056">
        <v>5110080003</v>
      </c>
      <c r="B1056" t="s">
        <v>30</v>
      </c>
      <c r="C1056" t="s">
        <v>230</v>
      </c>
      <c r="D1056" t="s">
        <v>500</v>
      </c>
      <c r="E1056" t="s">
        <v>152</v>
      </c>
      <c r="F1056" t="s">
        <v>152</v>
      </c>
      <c r="G1056" t="s">
        <v>763</v>
      </c>
      <c r="H1056" t="s">
        <v>50</v>
      </c>
      <c r="I1056" t="s">
        <v>1030</v>
      </c>
      <c r="J1056" t="s">
        <v>914</v>
      </c>
      <c r="K1056" t="str">
        <f>"na"</f>
        <v>0</v>
      </c>
      <c r="L1056">
        <v>323500</v>
      </c>
      <c r="M1056"/>
      <c r="N1056" t="s">
        <v>38</v>
      </c>
      <c r="O1056" t="s">
        <v>38</v>
      </c>
      <c r="P1056" t="s">
        <v>53</v>
      </c>
      <c r="Q1056" t="s">
        <v>38</v>
      </c>
      <c r="R1056" t="s">
        <v>38</v>
      </c>
      <c r="S1056" t="s">
        <v>42</v>
      </c>
      <c r="T1056" t="s">
        <v>42</v>
      </c>
      <c r="U1056" t="s">
        <v>1132</v>
      </c>
      <c r="V1056" t="s">
        <v>1110</v>
      </c>
      <c r="W1056" t="s">
        <v>1132</v>
      </c>
      <c r="X1056" t="s">
        <v>824</v>
      </c>
      <c r="Y1056" t="s">
        <v>1129</v>
      </c>
      <c r="Z1056" t="s">
        <v>47</v>
      </c>
      <c r="AA1056"/>
      <c r="AB1056"/>
      <c r="AC1056"/>
      <c r="AD1056"/>
    </row>
    <row r="1057" spans="1:30">
      <c r="A1057">
        <v>5110080004</v>
      </c>
      <c r="B1057" t="s">
        <v>30</v>
      </c>
      <c r="C1057" t="s">
        <v>230</v>
      </c>
      <c r="D1057" t="s">
        <v>500</v>
      </c>
      <c r="E1057" t="s">
        <v>48</v>
      </c>
      <c r="F1057" t="s">
        <v>48</v>
      </c>
      <c r="G1057" t="s">
        <v>431</v>
      </c>
      <c r="H1057" t="s">
        <v>35</v>
      </c>
      <c r="I1057" t="s">
        <v>432</v>
      </c>
      <c r="J1057" t="s">
        <v>1133</v>
      </c>
      <c r="K1057" t="str">
        <f>"na"</f>
        <v>0</v>
      </c>
      <c r="L1057">
        <v>327000</v>
      </c>
      <c r="M1057"/>
      <c r="N1057" t="s">
        <v>1134</v>
      </c>
      <c r="O1057" t="s">
        <v>38</v>
      </c>
      <c r="P1057" t="s">
        <v>53</v>
      </c>
      <c r="Q1057" t="s">
        <v>38</v>
      </c>
      <c r="R1057" t="s">
        <v>38</v>
      </c>
      <c r="S1057" t="s">
        <v>42</v>
      </c>
      <c r="T1057" t="s">
        <v>42</v>
      </c>
      <c r="U1057" t="s">
        <v>1132</v>
      </c>
      <c r="V1057" t="s">
        <v>1110</v>
      </c>
      <c r="W1057" t="s">
        <v>1132</v>
      </c>
      <c r="X1057" t="s">
        <v>824</v>
      </c>
      <c r="Y1057" t="s">
        <v>1129</v>
      </c>
      <c r="Z1057" t="s">
        <v>47</v>
      </c>
      <c r="AA1057"/>
      <c r="AB1057"/>
      <c r="AC1057"/>
      <c r="AD1057"/>
    </row>
    <row r="1058" spans="1:30">
      <c r="A1058">
        <v>5110080005</v>
      </c>
      <c r="B1058" t="s">
        <v>30</v>
      </c>
      <c r="C1058" t="s">
        <v>230</v>
      </c>
      <c r="D1058" t="s">
        <v>500</v>
      </c>
      <c r="E1058" t="s">
        <v>48</v>
      </c>
      <c r="F1058" t="s">
        <v>48</v>
      </c>
      <c r="G1058" t="s">
        <v>85</v>
      </c>
      <c r="H1058" t="s">
        <v>50</v>
      </c>
      <c r="I1058" t="s">
        <v>1135</v>
      </c>
      <c r="J1058" t="s">
        <v>1136</v>
      </c>
      <c r="K1058" t="str">
        <f>"na"</f>
        <v>0</v>
      </c>
      <c r="L1058">
        <v>30000</v>
      </c>
      <c r="M1058"/>
      <c r="N1058" t="s">
        <v>38</v>
      </c>
      <c r="O1058" t="s">
        <v>38</v>
      </c>
      <c r="P1058" t="s">
        <v>53</v>
      </c>
      <c r="Q1058" t="s">
        <v>38</v>
      </c>
      <c r="R1058" t="s">
        <v>38</v>
      </c>
      <c r="S1058" t="s">
        <v>42</v>
      </c>
      <c r="T1058" t="s">
        <v>42</v>
      </c>
      <c r="U1058" t="s">
        <v>1132</v>
      </c>
      <c r="V1058" t="s">
        <v>1110</v>
      </c>
      <c r="W1058" t="s">
        <v>1132</v>
      </c>
      <c r="X1058" t="s">
        <v>824</v>
      </c>
      <c r="Y1058" t="s">
        <v>1129</v>
      </c>
      <c r="Z1058" t="s">
        <v>47</v>
      </c>
      <c r="AA1058"/>
      <c r="AB1058"/>
      <c r="AC1058"/>
      <c r="AD1058"/>
    </row>
    <row r="1059" spans="1:30">
      <c r="A1059">
        <v>5110080006</v>
      </c>
      <c r="B1059" t="s">
        <v>30</v>
      </c>
      <c r="C1059" t="s">
        <v>230</v>
      </c>
      <c r="D1059" t="s">
        <v>500</v>
      </c>
      <c r="E1059" t="s">
        <v>339</v>
      </c>
      <c r="F1059" t="s">
        <v>340</v>
      </c>
      <c r="G1059" t="s">
        <v>1137</v>
      </c>
      <c r="H1059" t="s">
        <v>50</v>
      </c>
      <c r="I1059" t="s">
        <v>1138</v>
      </c>
      <c r="J1059" t="s">
        <v>59</v>
      </c>
      <c r="K1059" t="str">
        <f>"na"</f>
        <v>0</v>
      </c>
      <c r="L1059">
        <v>60000</v>
      </c>
      <c r="M1059"/>
      <c r="N1059" t="s">
        <v>38</v>
      </c>
      <c r="O1059" t="s">
        <v>38</v>
      </c>
      <c r="P1059" t="s">
        <v>53</v>
      </c>
      <c r="Q1059" t="s">
        <v>38</v>
      </c>
      <c r="R1059" t="s">
        <v>38</v>
      </c>
      <c r="S1059" t="s">
        <v>42</v>
      </c>
      <c r="T1059" t="s">
        <v>42</v>
      </c>
      <c r="U1059" t="s">
        <v>1132</v>
      </c>
      <c r="V1059" t="s">
        <v>1110</v>
      </c>
      <c r="W1059" t="s">
        <v>1132</v>
      </c>
      <c r="X1059" t="s">
        <v>824</v>
      </c>
      <c r="Y1059" t="s">
        <v>1129</v>
      </c>
      <c r="Z1059" t="s">
        <v>47</v>
      </c>
      <c r="AA1059"/>
      <c r="AB1059"/>
      <c r="AC1059"/>
      <c r="AD1059"/>
    </row>
    <row r="1060" spans="1:30">
      <c r="A1060">
        <v>5110070001</v>
      </c>
      <c r="B1060" t="s">
        <v>30</v>
      </c>
      <c r="C1060" t="s">
        <v>230</v>
      </c>
      <c r="D1060" t="s">
        <v>231</v>
      </c>
      <c r="E1060" t="s">
        <v>48</v>
      </c>
      <c r="F1060" t="s">
        <v>48</v>
      </c>
      <c r="G1060" t="s">
        <v>203</v>
      </c>
      <c r="H1060" t="s">
        <v>50</v>
      </c>
      <c r="I1060" t="s">
        <v>173</v>
      </c>
      <c r="J1060" t="s">
        <v>1024</v>
      </c>
      <c r="K1060" t="str">
        <f>"zejn-33227"</f>
        <v>0</v>
      </c>
      <c r="L1060">
        <v>36125</v>
      </c>
      <c r="M1060"/>
      <c r="N1060" t="s">
        <v>38</v>
      </c>
      <c r="O1060" t="s">
        <v>38</v>
      </c>
      <c r="P1060" t="s">
        <v>53</v>
      </c>
      <c r="Q1060" t="s">
        <v>38</v>
      </c>
      <c r="R1060" t="s">
        <v>38</v>
      </c>
      <c r="S1060" t="s">
        <v>42</v>
      </c>
      <c r="T1060" t="s">
        <v>42</v>
      </c>
      <c r="U1060" t="s">
        <v>1132</v>
      </c>
      <c r="V1060" t="s">
        <v>1110</v>
      </c>
      <c r="W1060" t="s">
        <v>1132</v>
      </c>
      <c r="X1060" t="s">
        <v>824</v>
      </c>
      <c r="Y1060" t="s">
        <v>1129</v>
      </c>
      <c r="Z1060" t="s">
        <v>47</v>
      </c>
      <c r="AA1060"/>
      <c r="AB1060"/>
      <c r="AC1060"/>
      <c r="AD1060"/>
    </row>
    <row r="1061" spans="1:30">
      <c r="A1061">
        <v>5110070003</v>
      </c>
      <c r="B1061" t="s">
        <v>30</v>
      </c>
      <c r="C1061" t="s">
        <v>230</v>
      </c>
      <c r="D1061" t="s">
        <v>231</v>
      </c>
      <c r="E1061" t="s">
        <v>48</v>
      </c>
      <c r="F1061" t="s">
        <v>48</v>
      </c>
      <c r="G1061" t="s">
        <v>431</v>
      </c>
      <c r="H1061" t="s">
        <v>35</v>
      </c>
      <c r="I1061" t="s">
        <v>432</v>
      </c>
      <c r="J1061" t="s">
        <v>1139</v>
      </c>
      <c r="K1061" t="str">
        <f>"na"</f>
        <v>0</v>
      </c>
      <c r="L1061">
        <v>327000</v>
      </c>
      <c r="M1061"/>
      <c r="N1061" t="s">
        <v>38</v>
      </c>
      <c r="O1061" t="s">
        <v>38</v>
      </c>
      <c r="P1061" t="s">
        <v>53</v>
      </c>
      <c r="Q1061" t="s">
        <v>38</v>
      </c>
      <c r="R1061" t="s">
        <v>38</v>
      </c>
      <c r="S1061" t="s">
        <v>42</v>
      </c>
      <c r="T1061" t="s">
        <v>42</v>
      </c>
      <c r="U1061" t="s">
        <v>1132</v>
      </c>
      <c r="V1061" t="s">
        <v>1110</v>
      </c>
      <c r="W1061" t="s">
        <v>1132</v>
      </c>
      <c r="X1061" t="s">
        <v>824</v>
      </c>
      <c r="Y1061" t="s">
        <v>1129</v>
      </c>
      <c r="Z1061" t="s">
        <v>47</v>
      </c>
      <c r="AA1061"/>
      <c r="AB1061"/>
      <c r="AC1061"/>
      <c r="AD1061"/>
    </row>
    <row r="1062" spans="1:30">
      <c r="A1062">
        <v>5110070005</v>
      </c>
      <c r="B1062" t="s">
        <v>30</v>
      </c>
      <c r="C1062" t="s">
        <v>230</v>
      </c>
      <c r="D1062" t="s">
        <v>231</v>
      </c>
      <c r="E1062" t="s">
        <v>48</v>
      </c>
      <c r="F1062" t="s">
        <v>48</v>
      </c>
      <c r="G1062" t="s">
        <v>85</v>
      </c>
      <c r="H1062" t="s">
        <v>50</v>
      </c>
      <c r="I1062" t="s">
        <v>832</v>
      </c>
      <c r="J1062" t="s">
        <v>315</v>
      </c>
      <c r="K1062" t="str">
        <f>"0663"</f>
        <v>0</v>
      </c>
      <c r="L1062">
        <v>30000</v>
      </c>
      <c r="M1062"/>
      <c r="N1062" t="s">
        <v>38</v>
      </c>
      <c r="O1062" t="s">
        <v>38</v>
      </c>
      <c r="P1062" t="s">
        <v>53</v>
      </c>
      <c r="Q1062" t="s">
        <v>38</v>
      </c>
      <c r="R1062" t="s">
        <v>38</v>
      </c>
      <c r="S1062" t="s">
        <v>42</v>
      </c>
      <c r="T1062" t="s">
        <v>42</v>
      </c>
      <c r="U1062" t="s">
        <v>1132</v>
      </c>
      <c r="V1062" t="s">
        <v>1110</v>
      </c>
      <c r="W1062" t="s">
        <v>1132</v>
      </c>
      <c r="X1062" t="s">
        <v>824</v>
      </c>
      <c r="Y1062" t="s">
        <v>1129</v>
      </c>
      <c r="Z1062" t="s">
        <v>47</v>
      </c>
      <c r="AA1062"/>
      <c r="AB1062"/>
      <c r="AC1062"/>
      <c r="AD1062"/>
    </row>
    <row r="1063" spans="1:30">
      <c r="A1063">
        <v>5110070006</v>
      </c>
      <c r="B1063" t="s">
        <v>30</v>
      </c>
      <c r="C1063" t="s">
        <v>230</v>
      </c>
      <c r="D1063" t="s">
        <v>231</v>
      </c>
      <c r="E1063" t="s">
        <v>48</v>
      </c>
      <c r="F1063" t="s">
        <v>90</v>
      </c>
      <c r="G1063" t="s">
        <v>523</v>
      </c>
      <c r="H1063" t="s">
        <v>50</v>
      </c>
      <c r="I1063" t="s">
        <v>524</v>
      </c>
      <c r="J1063" t="s">
        <v>525</v>
      </c>
      <c r="K1063" t="str">
        <f>"na"</f>
        <v>0</v>
      </c>
      <c r="L1063">
        <v>30000</v>
      </c>
      <c r="M1063"/>
      <c r="N1063" t="s">
        <v>38</v>
      </c>
      <c r="O1063" t="s">
        <v>38</v>
      </c>
      <c r="P1063" t="s">
        <v>53</v>
      </c>
      <c r="Q1063" t="s">
        <v>38</v>
      </c>
      <c r="R1063" t="s">
        <v>38</v>
      </c>
      <c r="S1063" t="s">
        <v>42</v>
      </c>
      <c r="T1063" t="s">
        <v>42</v>
      </c>
      <c r="U1063" t="s">
        <v>1132</v>
      </c>
      <c r="V1063" t="s">
        <v>1110</v>
      </c>
      <c r="W1063" t="s">
        <v>1132</v>
      </c>
      <c r="X1063" t="s">
        <v>824</v>
      </c>
      <c r="Y1063" t="s">
        <v>1129</v>
      </c>
      <c r="Z1063" t="s">
        <v>47</v>
      </c>
      <c r="AA1063"/>
      <c r="AB1063"/>
      <c r="AC1063"/>
      <c r="AD1063"/>
    </row>
    <row r="1064" spans="1:30">
      <c r="A1064">
        <v>5110070007</v>
      </c>
      <c r="B1064" t="s">
        <v>30</v>
      </c>
      <c r="C1064" t="s">
        <v>230</v>
      </c>
      <c r="D1064" t="s">
        <v>231</v>
      </c>
      <c r="E1064" t="s">
        <v>48</v>
      </c>
      <c r="F1064" t="s">
        <v>48</v>
      </c>
      <c r="G1064" t="s">
        <v>203</v>
      </c>
      <c r="H1064" t="s">
        <v>50</v>
      </c>
      <c r="I1064" t="s">
        <v>290</v>
      </c>
      <c r="J1064" t="s">
        <v>1140</v>
      </c>
      <c r="K1064" t="str">
        <f>"na"</f>
        <v>0</v>
      </c>
      <c r="L1064">
        <v>20000</v>
      </c>
      <c r="M1064"/>
      <c r="N1064" t="s">
        <v>38</v>
      </c>
      <c r="O1064" t="s">
        <v>38</v>
      </c>
      <c r="P1064" t="s">
        <v>53</v>
      </c>
      <c r="Q1064" t="s">
        <v>38</v>
      </c>
      <c r="R1064" t="s">
        <v>38</v>
      </c>
      <c r="S1064" t="s">
        <v>42</v>
      </c>
      <c r="T1064" t="s">
        <v>42</v>
      </c>
      <c r="U1064" t="s">
        <v>1132</v>
      </c>
      <c r="V1064" t="s">
        <v>1110</v>
      </c>
      <c r="W1064" t="s">
        <v>1132</v>
      </c>
      <c r="X1064" t="s">
        <v>824</v>
      </c>
      <c r="Y1064" t="s">
        <v>1129</v>
      </c>
      <c r="Z1064" t="s">
        <v>47</v>
      </c>
      <c r="AA1064"/>
      <c r="AB1064"/>
      <c r="AC1064"/>
      <c r="AD1064"/>
    </row>
    <row r="1065" spans="1:30">
      <c r="A1065">
        <v>5110070008</v>
      </c>
      <c r="B1065" t="s">
        <v>30</v>
      </c>
      <c r="C1065" t="s">
        <v>230</v>
      </c>
      <c r="D1065" t="s">
        <v>231</v>
      </c>
      <c r="E1065" t="s">
        <v>48</v>
      </c>
      <c r="F1065" t="s">
        <v>90</v>
      </c>
      <c r="G1065" t="s">
        <v>523</v>
      </c>
      <c r="H1065" t="s">
        <v>50</v>
      </c>
      <c r="I1065" t="s">
        <v>524</v>
      </c>
      <c r="J1065" t="s">
        <v>525</v>
      </c>
      <c r="K1065" t="str">
        <f>"na"</f>
        <v>0</v>
      </c>
      <c r="L1065">
        <v>30000</v>
      </c>
      <c r="M1065"/>
      <c r="N1065" t="s">
        <v>38</v>
      </c>
      <c r="O1065" t="s">
        <v>38</v>
      </c>
      <c r="P1065" t="s">
        <v>53</v>
      </c>
      <c r="Q1065" t="s">
        <v>38</v>
      </c>
      <c r="R1065" t="s">
        <v>38</v>
      </c>
      <c r="S1065" t="s">
        <v>42</v>
      </c>
      <c r="T1065" t="s">
        <v>42</v>
      </c>
      <c r="U1065" t="s">
        <v>1132</v>
      </c>
      <c r="V1065" t="s">
        <v>1110</v>
      </c>
      <c r="W1065" t="s">
        <v>1132</v>
      </c>
      <c r="X1065" t="s">
        <v>824</v>
      </c>
      <c r="Y1065" t="s">
        <v>1129</v>
      </c>
      <c r="Z1065" t="s">
        <v>47</v>
      </c>
      <c r="AA1065"/>
      <c r="AB1065"/>
      <c r="AC1065"/>
      <c r="AD1065"/>
    </row>
    <row r="1066" spans="1:30">
      <c r="A1066">
        <v>5110070009</v>
      </c>
      <c r="B1066" t="s">
        <v>30</v>
      </c>
      <c r="C1066" t="s">
        <v>230</v>
      </c>
      <c r="D1066" t="s">
        <v>231</v>
      </c>
      <c r="E1066" t="s">
        <v>152</v>
      </c>
      <c r="F1066" t="s">
        <v>152</v>
      </c>
      <c r="G1066" t="s">
        <v>763</v>
      </c>
      <c r="H1066" t="s">
        <v>50</v>
      </c>
      <c r="I1066" t="s">
        <v>764</v>
      </c>
      <c r="J1066" t="s">
        <v>914</v>
      </c>
      <c r="K1066" t="str">
        <f>"na"</f>
        <v>0</v>
      </c>
      <c r="L1066">
        <v>323500</v>
      </c>
      <c r="M1066"/>
      <c r="N1066" t="s">
        <v>38</v>
      </c>
      <c r="O1066" t="s">
        <v>38</v>
      </c>
      <c r="P1066" t="s">
        <v>53</v>
      </c>
      <c r="Q1066" t="s">
        <v>38</v>
      </c>
      <c r="R1066" t="s">
        <v>38</v>
      </c>
      <c r="S1066" t="s">
        <v>42</v>
      </c>
      <c r="T1066" t="s">
        <v>42</v>
      </c>
      <c r="U1066" t="s">
        <v>1132</v>
      </c>
      <c r="V1066" t="s">
        <v>1110</v>
      </c>
      <c r="W1066" t="s">
        <v>1132</v>
      </c>
      <c r="X1066" t="s">
        <v>824</v>
      </c>
      <c r="Y1066" t="s">
        <v>1129</v>
      </c>
      <c r="Z1066" t="s">
        <v>47</v>
      </c>
      <c r="AA1066"/>
      <c r="AB1066"/>
      <c r="AC1066"/>
      <c r="AD1066"/>
    </row>
    <row r="1067" spans="1:30">
      <c r="A1067">
        <v>5110070010</v>
      </c>
      <c r="B1067" t="s">
        <v>30</v>
      </c>
      <c r="C1067" t="s">
        <v>230</v>
      </c>
      <c r="D1067" t="s">
        <v>231</v>
      </c>
      <c r="E1067" t="s">
        <v>152</v>
      </c>
      <c r="F1067" t="s">
        <v>152</v>
      </c>
      <c r="G1067" t="s">
        <v>723</v>
      </c>
      <c r="H1067" t="s">
        <v>50</v>
      </c>
      <c r="I1067" t="s">
        <v>912</v>
      </c>
      <c r="J1067" t="s">
        <v>1141</v>
      </c>
      <c r="K1067" t="str">
        <f>"na"</f>
        <v>0</v>
      </c>
      <c r="L1067">
        <v>94500</v>
      </c>
      <c r="M1067"/>
      <c r="N1067" t="s">
        <v>38</v>
      </c>
      <c r="O1067" t="s">
        <v>38</v>
      </c>
      <c r="P1067" t="s">
        <v>53</v>
      </c>
      <c r="Q1067" t="s">
        <v>38</v>
      </c>
      <c r="R1067" t="s">
        <v>38</v>
      </c>
      <c r="S1067" t="s">
        <v>42</v>
      </c>
      <c r="T1067" t="s">
        <v>42</v>
      </c>
      <c r="U1067" t="s">
        <v>1132</v>
      </c>
      <c r="V1067" t="s">
        <v>1110</v>
      </c>
      <c r="W1067" t="s">
        <v>1132</v>
      </c>
      <c r="X1067" t="s">
        <v>824</v>
      </c>
      <c r="Y1067" t="s">
        <v>1129</v>
      </c>
      <c r="Z1067" t="s">
        <v>47</v>
      </c>
      <c r="AA1067"/>
      <c r="AB1067"/>
      <c r="AC1067"/>
      <c r="AD1067"/>
    </row>
    <row r="1068" spans="1:30">
      <c r="A1068">
        <v>5110070011</v>
      </c>
      <c r="B1068" t="s">
        <v>30</v>
      </c>
      <c r="C1068" t="s">
        <v>230</v>
      </c>
      <c r="D1068" t="s">
        <v>231</v>
      </c>
      <c r="E1068" t="s">
        <v>152</v>
      </c>
      <c r="F1068" t="s">
        <v>152</v>
      </c>
      <c r="G1068" t="s">
        <v>723</v>
      </c>
      <c r="H1068" t="s">
        <v>50</v>
      </c>
      <c r="I1068" t="s">
        <v>1142</v>
      </c>
      <c r="J1068" t="s">
        <v>1143</v>
      </c>
      <c r="K1068" t="str">
        <f>"na"</f>
        <v>0</v>
      </c>
      <c r="L1068">
        <v>125000</v>
      </c>
      <c r="M1068"/>
      <c r="N1068" t="s">
        <v>38</v>
      </c>
      <c r="O1068" t="s">
        <v>38</v>
      </c>
      <c r="P1068" t="s">
        <v>53</v>
      </c>
      <c r="Q1068" t="s">
        <v>38</v>
      </c>
      <c r="R1068" t="s">
        <v>38</v>
      </c>
      <c r="S1068" t="s">
        <v>42</v>
      </c>
      <c r="T1068" t="s">
        <v>42</v>
      </c>
      <c r="U1068" t="s">
        <v>1132</v>
      </c>
      <c r="V1068" t="s">
        <v>1110</v>
      </c>
      <c r="W1068" t="s">
        <v>1132</v>
      </c>
      <c r="X1068" t="s">
        <v>824</v>
      </c>
      <c r="Y1068" t="s">
        <v>1129</v>
      </c>
      <c r="Z1068" t="s">
        <v>47</v>
      </c>
      <c r="AA1068"/>
      <c r="AB1068"/>
      <c r="AC1068"/>
      <c r="AD1068"/>
    </row>
    <row r="1069" spans="1:30">
      <c r="A1069">
        <v>5110070013</v>
      </c>
      <c r="B1069" t="s">
        <v>30</v>
      </c>
      <c r="C1069" t="s">
        <v>230</v>
      </c>
      <c r="D1069" t="s">
        <v>231</v>
      </c>
      <c r="E1069" t="s">
        <v>152</v>
      </c>
      <c r="F1069" t="s">
        <v>48</v>
      </c>
      <c r="G1069" t="s">
        <v>570</v>
      </c>
      <c r="H1069" t="s">
        <v>50</v>
      </c>
      <c r="I1069" t="s">
        <v>912</v>
      </c>
      <c r="J1069" t="s">
        <v>59</v>
      </c>
      <c r="K1069" t="str">
        <f>"na"</f>
        <v>0</v>
      </c>
      <c r="L1069">
        <v>25000</v>
      </c>
      <c r="M1069"/>
      <c r="N1069" t="s">
        <v>38</v>
      </c>
      <c r="O1069" t="s">
        <v>38</v>
      </c>
      <c r="P1069" t="s">
        <v>53</v>
      </c>
      <c r="Q1069" t="s">
        <v>38</v>
      </c>
      <c r="R1069" t="s">
        <v>38</v>
      </c>
      <c r="S1069" t="s">
        <v>42</v>
      </c>
      <c r="T1069" t="s">
        <v>42</v>
      </c>
      <c r="U1069" t="s">
        <v>1132</v>
      </c>
      <c r="V1069" t="s">
        <v>1110</v>
      </c>
      <c r="W1069" t="s">
        <v>1132</v>
      </c>
      <c r="X1069" t="s">
        <v>824</v>
      </c>
      <c r="Y1069" t="s">
        <v>1129</v>
      </c>
      <c r="Z1069" t="s">
        <v>47</v>
      </c>
      <c r="AA1069"/>
      <c r="AB1069"/>
      <c r="AC1069"/>
      <c r="AD1069"/>
    </row>
    <row r="1070" spans="1:30">
      <c r="A1070">
        <v>5110070014</v>
      </c>
      <c r="B1070" t="s">
        <v>30</v>
      </c>
      <c r="C1070" t="s">
        <v>230</v>
      </c>
      <c r="D1070" t="s">
        <v>231</v>
      </c>
      <c r="E1070" t="s">
        <v>339</v>
      </c>
      <c r="F1070" t="s">
        <v>340</v>
      </c>
      <c r="G1070" t="s">
        <v>1144</v>
      </c>
      <c r="H1070" t="s">
        <v>50</v>
      </c>
      <c r="I1070" t="s">
        <v>342</v>
      </c>
      <c r="J1070" t="s">
        <v>1145</v>
      </c>
      <c r="K1070" t="str">
        <f>"na"</f>
        <v>0</v>
      </c>
      <c r="L1070">
        <v>16071</v>
      </c>
      <c r="M1070"/>
      <c r="N1070" t="s">
        <v>38</v>
      </c>
      <c r="O1070" t="s">
        <v>38</v>
      </c>
      <c r="P1070" t="s">
        <v>53</v>
      </c>
      <c r="Q1070" t="s">
        <v>38</v>
      </c>
      <c r="R1070" t="s">
        <v>38</v>
      </c>
      <c r="S1070" t="s">
        <v>42</v>
      </c>
      <c r="T1070" t="s">
        <v>42</v>
      </c>
      <c r="U1070" t="s">
        <v>1132</v>
      </c>
      <c r="V1070" t="s">
        <v>1110</v>
      </c>
      <c r="W1070" t="s">
        <v>1132</v>
      </c>
      <c r="X1070" t="s">
        <v>824</v>
      </c>
      <c r="Y1070" t="s">
        <v>1129</v>
      </c>
      <c r="Z1070" t="s">
        <v>47</v>
      </c>
      <c r="AA1070"/>
      <c r="AB1070"/>
      <c r="AC1070"/>
      <c r="AD1070"/>
    </row>
    <row r="1071" spans="1:30">
      <c r="A1071">
        <v>5110070015</v>
      </c>
      <c r="B1071" t="s">
        <v>30</v>
      </c>
      <c r="C1071" t="s">
        <v>230</v>
      </c>
      <c r="D1071" t="s">
        <v>231</v>
      </c>
      <c r="E1071" t="s">
        <v>339</v>
      </c>
      <c r="F1071" t="s">
        <v>340</v>
      </c>
      <c r="G1071" t="s">
        <v>341</v>
      </c>
      <c r="H1071" t="s">
        <v>50</v>
      </c>
      <c r="I1071" t="s">
        <v>1138</v>
      </c>
      <c r="J1071" t="s">
        <v>1146</v>
      </c>
      <c r="K1071" t="str">
        <f>"na"</f>
        <v>0</v>
      </c>
      <c r="L1071">
        <v>25000</v>
      </c>
      <c r="M1071"/>
      <c r="N1071" t="s">
        <v>38</v>
      </c>
      <c r="O1071" t="s">
        <v>38</v>
      </c>
      <c r="P1071" t="s">
        <v>53</v>
      </c>
      <c r="Q1071" t="s">
        <v>38</v>
      </c>
      <c r="R1071" t="s">
        <v>38</v>
      </c>
      <c r="S1071" t="s">
        <v>42</v>
      </c>
      <c r="T1071" t="s">
        <v>42</v>
      </c>
      <c r="U1071" t="s">
        <v>1132</v>
      </c>
      <c r="V1071" t="s">
        <v>1110</v>
      </c>
      <c r="W1071" t="s">
        <v>1132</v>
      </c>
      <c r="X1071" t="s">
        <v>824</v>
      </c>
      <c r="Y1071" t="s">
        <v>1129</v>
      </c>
      <c r="Z1071" t="s">
        <v>47</v>
      </c>
      <c r="AA1071"/>
      <c r="AB1071"/>
      <c r="AC1071"/>
      <c r="AD1071"/>
    </row>
    <row r="1072" spans="1:30">
      <c r="A1072">
        <v>5110070016</v>
      </c>
      <c r="B1072" t="s">
        <v>30</v>
      </c>
      <c r="C1072" t="s">
        <v>230</v>
      </c>
      <c r="D1072" t="s">
        <v>231</v>
      </c>
      <c r="E1072" t="s">
        <v>339</v>
      </c>
      <c r="F1072" t="s">
        <v>64</v>
      </c>
      <c r="G1072" t="s">
        <v>99</v>
      </c>
      <c r="H1072" t="s">
        <v>50</v>
      </c>
      <c r="I1072" t="s">
        <v>1147</v>
      </c>
      <c r="J1072" t="s">
        <v>1148</v>
      </c>
      <c r="K1072" t="str">
        <f>"na"</f>
        <v>0</v>
      </c>
      <c r="L1072">
        <v>36000</v>
      </c>
      <c r="M1072"/>
      <c r="N1072" t="s">
        <v>38</v>
      </c>
      <c r="O1072" t="s">
        <v>38</v>
      </c>
      <c r="P1072" t="s">
        <v>53</v>
      </c>
      <c r="Q1072" t="s">
        <v>38</v>
      </c>
      <c r="R1072" t="s">
        <v>38</v>
      </c>
      <c r="S1072" t="s">
        <v>42</v>
      </c>
      <c r="T1072" t="s">
        <v>42</v>
      </c>
      <c r="U1072" t="s">
        <v>1132</v>
      </c>
      <c r="V1072" t="s">
        <v>1110</v>
      </c>
      <c r="W1072" t="s">
        <v>1132</v>
      </c>
      <c r="X1072" t="s">
        <v>824</v>
      </c>
      <c r="Y1072" t="s">
        <v>1129</v>
      </c>
      <c r="Z1072" t="s">
        <v>47</v>
      </c>
      <c r="AA1072"/>
      <c r="AB1072"/>
      <c r="AC1072"/>
      <c r="AD1072" t="s">
        <v>42</v>
      </c>
    </row>
    <row r="1073" spans="1:30">
      <c r="A1073">
        <v>5110070018</v>
      </c>
      <c r="B1073" t="s">
        <v>30</v>
      </c>
      <c r="C1073" t="s">
        <v>230</v>
      </c>
      <c r="D1073" t="s">
        <v>231</v>
      </c>
      <c r="E1073" t="s">
        <v>79</v>
      </c>
      <c r="F1073" t="s">
        <v>143</v>
      </c>
      <c r="G1073" t="s">
        <v>377</v>
      </c>
      <c r="H1073" t="s">
        <v>50</v>
      </c>
      <c r="I1073" t="s">
        <v>375</v>
      </c>
      <c r="J1073" t="s">
        <v>59</v>
      </c>
      <c r="K1073" t="str">
        <f>"na"</f>
        <v>0</v>
      </c>
      <c r="L1073">
        <v>30000</v>
      </c>
      <c r="M1073"/>
      <c r="N1073" t="s">
        <v>38</v>
      </c>
      <c r="O1073" t="s">
        <v>38</v>
      </c>
      <c r="P1073" t="s">
        <v>53</v>
      </c>
      <c r="Q1073" t="s">
        <v>38</v>
      </c>
      <c r="R1073" t="s">
        <v>38</v>
      </c>
      <c r="S1073" t="s">
        <v>42</v>
      </c>
      <c r="T1073" t="s">
        <v>42</v>
      </c>
      <c r="U1073" t="s">
        <v>1132</v>
      </c>
      <c r="V1073" t="s">
        <v>1110</v>
      </c>
      <c r="W1073" t="s">
        <v>1132</v>
      </c>
      <c r="X1073" t="s">
        <v>824</v>
      </c>
      <c r="Y1073" t="s">
        <v>1129</v>
      </c>
      <c r="Z1073" t="s">
        <v>47</v>
      </c>
      <c r="AA1073"/>
      <c r="AB1073"/>
      <c r="AC1073"/>
      <c r="AD1073"/>
    </row>
    <row r="1074" spans="1:30">
      <c r="A1074">
        <v>5110070019</v>
      </c>
      <c r="B1074" t="s">
        <v>30</v>
      </c>
      <c r="C1074" t="s">
        <v>230</v>
      </c>
      <c r="D1074" t="s">
        <v>231</v>
      </c>
      <c r="E1074" t="s">
        <v>79</v>
      </c>
      <c r="F1074" t="s">
        <v>143</v>
      </c>
      <c r="G1074" t="s">
        <v>377</v>
      </c>
      <c r="H1074" t="s">
        <v>50</v>
      </c>
      <c r="I1074" t="s">
        <v>375</v>
      </c>
      <c r="J1074" t="s">
        <v>59</v>
      </c>
      <c r="K1074" t="str">
        <f>"na"</f>
        <v>0</v>
      </c>
      <c r="L1074">
        <v>30000</v>
      </c>
      <c r="M1074"/>
      <c r="N1074" t="s">
        <v>38</v>
      </c>
      <c r="O1074" t="s">
        <v>38</v>
      </c>
      <c r="P1074" t="s">
        <v>53</v>
      </c>
      <c r="Q1074" t="s">
        <v>38</v>
      </c>
      <c r="R1074" t="s">
        <v>38</v>
      </c>
      <c r="S1074" t="s">
        <v>42</v>
      </c>
      <c r="T1074" t="s">
        <v>42</v>
      </c>
      <c r="U1074" t="s">
        <v>1132</v>
      </c>
      <c r="V1074" t="s">
        <v>1110</v>
      </c>
      <c r="W1074" t="s">
        <v>1132</v>
      </c>
      <c r="X1074" t="s">
        <v>824</v>
      </c>
      <c r="Y1074" t="s">
        <v>1129</v>
      </c>
      <c r="Z1074" t="s">
        <v>47</v>
      </c>
      <c r="AA1074"/>
      <c r="AB1074"/>
      <c r="AC1074"/>
      <c r="AD1074"/>
    </row>
    <row r="1075" spans="1:30">
      <c r="A1075">
        <v>2110060237</v>
      </c>
      <c r="B1075" t="s">
        <v>30</v>
      </c>
      <c r="C1075" t="s">
        <v>31</v>
      </c>
      <c r="D1075" t="s">
        <v>32</v>
      </c>
      <c r="E1075" t="s">
        <v>215</v>
      </c>
      <c r="F1075" t="s">
        <v>48</v>
      </c>
      <c r="G1075" t="s">
        <v>1149</v>
      </c>
      <c r="H1075" t="s">
        <v>50</v>
      </c>
      <c r="I1075" t="s">
        <v>1150</v>
      </c>
      <c r="J1075" t="s">
        <v>315</v>
      </c>
      <c r="K1075" t="str">
        <f>"809667"</f>
        <v>0</v>
      </c>
      <c r="L1075">
        <v>2200000</v>
      </c>
      <c r="M1075"/>
      <c r="N1075" t="s">
        <v>38</v>
      </c>
      <c r="O1075" t="s">
        <v>38</v>
      </c>
      <c r="P1075" t="s">
        <v>1151</v>
      </c>
      <c r="Q1075" t="s">
        <v>38</v>
      </c>
      <c r="R1075" t="s">
        <v>38</v>
      </c>
      <c r="S1075" t="s">
        <v>42</v>
      </c>
      <c r="T1075" t="s">
        <v>42</v>
      </c>
      <c r="U1075" t="s">
        <v>1132</v>
      </c>
      <c r="V1075" t="s">
        <v>44</v>
      </c>
      <c r="W1075" t="s">
        <v>1132</v>
      </c>
      <c r="X1075" t="s">
        <v>824</v>
      </c>
      <c r="Y1075" t="s">
        <v>1152</v>
      </c>
      <c r="Z1075" t="s">
        <v>47</v>
      </c>
      <c r="AA1075"/>
      <c r="AB1075"/>
      <c r="AC1075"/>
      <c r="AD1075"/>
    </row>
    <row r="1076" spans="1:30">
      <c r="A1076">
        <v>2110060233</v>
      </c>
      <c r="B1076" t="s">
        <v>30</v>
      </c>
      <c r="C1076" t="s">
        <v>31</v>
      </c>
      <c r="D1076" t="s">
        <v>32</v>
      </c>
      <c r="E1076" t="s">
        <v>215</v>
      </c>
      <c r="F1076" t="s">
        <v>48</v>
      </c>
      <c r="G1076" t="s">
        <v>85</v>
      </c>
      <c r="H1076" t="s">
        <v>50</v>
      </c>
      <c r="I1076" t="s">
        <v>832</v>
      </c>
      <c r="J1076" t="s">
        <v>315</v>
      </c>
      <c r="K1076" t="str">
        <f>"1184"</f>
        <v>0</v>
      </c>
      <c r="L1076">
        <v>30000</v>
      </c>
      <c r="M1076"/>
      <c r="N1076" t="s">
        <v>38</v>
      </c>
      <c r="O1076" t="s">
        <v>38</v>
      </c>
      <c r="P1076" t="s">
        <v>53</v>
      </c>
      <c r="Q1076" t="s">
        <v>38</v>
      </c>
      <c r="R1076" t="s">
        <v>38</v>
      </c>
      <c r="S1076" t="s">
        <v>42</v>
      </c>
      <c r="T1076" t="s">
        <v>42</v>
      </c>
      <c r="U1076" t="s">
        <v>1153</v>
      </c>
      <c r="V1076" t="s">
        <v>44</v>
      </c>
      <c r="W1076" t="s">
        <v>1153</v>
      </c>
      <c r="X1076" t="s">
        <v>824</v>
      </c>
      <c r="Y1076" t="s">
        <v>1152</v>
      </c>
      <c r="Z1076" t="s">
        <v>47</v>
      </c>
      <c r="AA1076"/>
      <c r="AB1076"/>
      <c r="AC1076"/>
      <c r="AD1076"/>
    </row>
    <row r="1077" spans="1:30">
      <c r="A1077">
        <v>2110060234</v>
      </c>
      <c r="B1077" t="s">
        <v>30</v>
      </c>
      <c r="C1077" t="s">
        <v>31</v>
      </c>
      <c r="D1077" t="s">
        <v>32</v>
      </c>
      <c r="E1077" t="s">
        <v>215</v>
      </c>
      <c r="F1077" t="s">
        <v>48</v>
      </c>
      <c r="G1077" t="s">
        <v>85</v>
      </c>
      <c r="H1077" t="s">
        <v>50</v>
      </c>
      <c r="I1077" t="s">
        <v>832</v>
      </c>
      <c r="J1077" t="s">
        <v>315</v>
      </c>
      <c r="K1077" t="str">
        <f>"na"</f>
        <v>0</v>
      </c>
      <c r="L1077">
        <v>30000</v>
      </c>
      <c r="M1077"/>
      <c r="N1077" t="s">
        <v>38</v>
      </c>
      <c r="O1077" t="s">
        <v>38</v>
      </c>
      <c r="P1077" t="s">
        <v>53</v>
      </c>
      <c r="Q1077" t="s">
        <v>38</v>
      </c>
      <c r="R1077" t="s">
        <v>38</v>
      </c>
      <c r="S1077" t="s">
        <v>42</v>
      </c>
      <c r="T1077" t="s">
        <v>42</v>
      </c>
      <c r="U1077" t="s">
        <v>1153</v>
      </c>
      <c r="V1077" t="s">
        <v>44</v>
      </c>
      <c r="W1077" t="s">
        <v>1153</v>
      </c>
      <c r="X1077" t="s">
        <v>824</v>
      </c>
      <c r="Y1077" t="s">
        <v>1152</v>
      </c>
      <c r="Z1077" t="s">
        <v>47</v>
      </c>
      <c r="AA1077"/>
      <c r="AB1077"/>
      <c r="AC1077"/>
      <c r="AD1077"/>
    </row>
    <row r="1078" spans="1:30">
      <c r="A1078">
        <v>2110060235</v>
      </c>
      <c r="B1078" t="s">
        <v>30</v>
      </c>
      <c r="C1078" t="s">
        <v>31</v>
      </c>
      <c r="D1078" t="s">
        <v>32</v>
      </c>
      <c r="E1078" t="s">
        <v>215</v>
      </c>
      <c r="F1078" t="s">
        <v>48</v>
      </c>
      <c r="G1078" t="s">
        <v>85</v>
      </c>
      <c r="H1078" t="s">
        <v>50</v>
      </c>
      <c r="I1078" t="s">
        <v>832</v>
      </c>
      <c r="J1078" t="s">
        <v>1154</v>
      </c>
      <c r="K1078" t="str">
        <f>"na"</f>
        <v>0</v>
      </c>
      <c r="L1078">
        <v>30000</v>
      </c>
      <c r="M1078"/>
      <c r="N1078" t="s">
        <v>38</v>
      </c>
      <c r="O1078" t="s">
        <v>38</v>
      </c>
      <c r="P1078" t="s">
        <v>53</v>
      </c>
      <c r="Q1078" t="s">
        <v>38</v>
      </c>
      <c r="R1078" t="s">
        <v>38</v>
      </c>
      <c r="S1078" t="s">
        <v>42</v>
      </c>
      <c r="T1078" t="s">
        <v>42</v>
      </c>
      <c r="U1078" t="s">
        <v>1153</v>
      </c>
      <c r="V1078" t="s">
        <v>44</v>
      </c>
      <c r="W1078" t="s">
        <v>1153</v>
      </c>
      <c r="X1078" t="s">
        <v>824</v>
      </c>
      <c r="Y1078" t="s">
        <v>1152</v>
      </c>
      <c r="Z1078" t="s">
        <v>47</v>
      </c>
      <c r="AA1078"/>
      <c r="AB1078"/>
      <c r="AC1078"/>
      <c r="AD1078"/>
    </row>
    <row r="1079" spans="1:30">
      <c r="A1079">
        <v>2110060236</v>
      </c>
      <c r="B1079" t="s">
        <v>30</v>
      </c>
      <c r="C1079" t="s">
        <v>31</v>
      </c>
      <c r="D1079" t="s">
        <v>32</v>
      </c>
      <c r="E1079" t="s">
        <v>215</v>
      </c>
      <c r="F1079" t="s">
        <v>48</v>
      </c>
      <c r="G1079" t="s">
        <v>646</v>
      </c>
      <c r="H1079" t="s">
        <v>50</v>
      </c>
      <c r="I1079" t="s">
        <v>295</v>
      </c>
      <c r="J1079" t="s">
        <v>315</v>
      </c>
      <c r="K1079" t="str">
        <f>"qic hr22"</f>
        <v>0</v>
      </c>
      <c r="L1079">
        <v>30000</v>
      </c>
      <c r="M1079"/>
      <c r="N1079" t="s">
        <v>38</v>
      </c>
      <c r="O1079" t="s">
        <v>38</v>
      </c>
      <c r="P1079" t="s">
        <v>53</v>
      </c>
      <c r="Q1079" t="s">
        <v>38</v>
      </c>
      <c r="R1079" t="s">
        <v>38</v>
      </c>
      <c r="S1079" t="s">
        <v>42</v>
      </c>
      <c r="T1079" t="s">
        <v>42</v>
      </c>
      <c r="U1079" t="s">
        <v>1153</v>
      </c>
      <c r="V1079" t="s">
        <v>44</v>
      </c>
      <c r="W1079" t="s">
        <v>1153</v>
      </c>
      <c r="X1079" t="s">
        <v>824</v>
      </c>
      <c r="Y1079" t="s">
        <v>1152</v>
      </c>
      <c r="Z1079" t="s">
        <v>47</v>
      </c>
      <c r="AA1079"/>
      <c r="AB1079"/>
      <c r="AC1079"/>
      <c r="AD1079"/>
    </row>
    <row r="1080" spans="1:30">
      <c r="A1080">
        <v>2110060238</v>
      </c>
      <c r="B1080" t="s">
        <v>30</v>
      </c>
      <c r="C1080" t="s">
        <v>31</v>
      </c>
      <c r="D1080" t="s">
        <v>32</v>
      </c>
      <c r="E1080" t="s">
        <v>215</v>
      </c>
      <c r="F1080" t="s">
        <v>48</v>
      </c>
      <c r="G1080" t="s">
        <v>85</v>
      </c>
      <c r="H1080" t="s">
        <v>50</v>
      </c>
      <c r="I1080" t="s">
        <v>832</v>
      </c>
      <c r="J1080" t="s">
        <v>1155</v>
      </c>
      <c r="K1080" t="str">
        <f>"0656"</f>
        <v>0</v>
      </c>
      <c r="L1080">
        <v>30000</v>
      </c>
      <c r="M1080"/>
      <c r="N1080" t="s">
        <v>38</v>
      </c>
      <c r="O1080" t="s">
        <v>38</v>
      </c>
      <c r="P1080" t="s">
        <v>53</v>
      </c>
      <c r="Q1080" t="s">
        <v>38</v>
      </c>
      <c r="R1080" t="s">
        <v>38</v>
      </c>
      <c r="S1080" t="s">
        <v>266</v>
      </c>
      <c r="T1080" t="s">
        <v>266</v>
      </c>
      <c r="U1080" t="s">
        <v>1153</v>
      </c>
      <c r="V1080" t="s">
        <v>44</v>
      </c>
      <c r="W1080" t="s">
        <v>1153</v>
      </c>
      <c r="X1080" t="s">
        <v>824</v>
      </c>
      <c r="Y1080" t="s">
        <v>1152</v>
      </c>
      <c r="Z1080" t="s">
        <v>70</v>
      </c>
      <c r="AA1080"/>
      <c r="AB1080"/>
      <c r="AC1080"/>
      <c r="AD1080"/>
    </row>
    <row r="1081" spans="1:30">
      <c r="A1081">
        <v>3110110084</v>
      </c>
      <c r="B1081" t="s">
        <v>30</v>
      </c>
      <c r="C1081" t="s">
        <v>61</v>
      </c>
      <c r="D1081" t="s">
        <v>62</v>
      </c>
      <c r="E1081" t="s">
        <v>1156</v>
      </c>
      <c r="F1081" t="s">
        <v>166</v>
      </c>
      <c r="G1081" t="s">
        <v>167</v>
      </c>
      <c r="H1081" t="s">
        <v>35</v>
      </c>
      <c r="I1081" t="s">
        <v>168</v>
      </c>
      <c r="J1081" t="s">
        <v>900</v>
      </c>
      <c r="K1081" t="str">
        <f>"L19170925063"</f>
        <v>0</v>
      </c>
      <c r="L1081">
        <v>65000</v>
      </c>
      <c r="M1081"/>
      <c r="N1081" t="s">
        <v>38</v>
      </c>
      <c r="O1081" t="s">
        <v>38</v>
      </c>
      <c r="P1081" t="s">
        <v>53</v>
      </c>
      <c r="Q1081" t="s">
        <v>38</v>
      </c>
      <c r="R1081" t="s">
        <v>38</v>
      </c>
      <c r="S1081" t="s">
        <v>42</v>
      </c>
      <c r="T1081" t="s">
        <v>42</v>
      </c>
      <c r="U1081" t="s">
        <v>1153</v>
      </c>
      <c r="V1081" t="s">
        <v>636</v>
      </c>
      <c r="W1081" t="s">
        <v>1153</v>
      </c>
      <c r="X1081" t="s">
        <v>824</v>
      </c>
      <c r="Y1081" t="s">
        <v>1066</v>
      </c>
      <c r="Z1081" t="s">
        <v>47</v>
      </c>
      <c r="AA1081"/>
      <c r="AB1081"/>
      <c r="AC1081"/>
      <c r="AD1081" t="s">
        <v>638</v>
      </c>
    </row>
    <row r="1082" spans="1:30">
      <c r="A1082">
        <v>3110110095</v>
      </c>
      <c r="B1082" t="s">
        <v>30</v>
      </c>
      <c r="C1082" t="s">
        <v>61</v>
      </c>
      <c r="D1082" t="s">
        <v>62</v>
      </c>
      <c r="E1082" t="s">
        <v>72</v>
      </c>
      <c r="F1082" t="s">
        <v>166</v>
      </c>
      <c r="G1082" t="s">
        <v>167</v>
      </c>
      <c r="H1082" t="s">
        <v>35</v>
      </c>
      <c r="I1082" t="s">
        <v>168</v>
      </c>
      <c r="J1082" t="s">
        <v>900</v>
      </c>
      <c r="K1082" t="str">
        <f>"L19170925061"</f>
        <v>0</v>
      </c>
      <c r="L1082">
        <v>65000</v>
      </c>
      <c r="M1082"/>
      <c r="N1082" t="s">
        <v>38</v>
      </c>
      <c r="O1082" t="s">
        <v>38</v>
      </c>
      <c r="P1082" t="s">
        <v>53</v>
      </c>
      <c r="Q1082" t="s">
        <v>38</v>
      </c>
      <c r="R1082" t="s">
        <v>38</v>
      </c>
      <c r="S1082" t="s">
        <v>42</v>
      </c>
      <c r="T1082" t="s">
        <v>42</v>
      </c>
      <c r="U1082" t="s">
        <v>1153</v>
      </c>
      <c r="V1082" t="s">
        <v>636</v>
      </c>
      <c r="W1082" t="s">
        <v>1153</v>
      </c>
      <c r="X1082" t="s">
        <v>824</v>
      </c>
      <c r="Y1082" t="s">
        <v>1066</v>
      </c>
      <c r="Z1082" t="s">
        <v>47</v>
      </c>
      <c r="AA1082"/>
      <c r="AB1082"/>
      <c r="AC1082"/>
      <c r="AD1082" t="s">
        <v>638</v>
      </c>
    </row>
    <row r="1083" spans="1:30">
      <c r="A1083">
        <v>3110110096</v>
      </c>
      <c r="B1083" t="s">
        <v>30</v>
      </c>
      <c r="C1083" t="s">
        <v>61</v>
      </c>
      <c r="D1083" t="s">
        <v>62</v>
      </c>
      <c r="E1083" t="s">
        <v>72</v>
      </c>
      <c r="F1083" t="s">
        <v>166</v>
      </c>
      <c r="G1083" t="s">
        <v>167</v>
      </c>
      <c r="H1083" t="s">
        <v>35</v>
      </c>
      <c r="I1083" t="s">
        <v>168</v>
      </c>
      <c r="J1083" t="s">
        <v>900</v>
      </c>
      <c r="K1083" t="str">
        <f>"L19170925064"</f>
        <v>0</v>
      </c>
      <c r="L1083">
        <v>65000</v>
      </c>
      <c r="M1083"/>
      <c r="N1083" t="s">
        <v>38</v>
      </c>
      <c r="O1083" t="s">
        <v>38</v>
      </c>
      <c r="P1083" t="s">
        <v>53</v>
      </c>
      <c r="Q1083" t="s">
        <v>38</v>
      </c>
      <c r="R1083" t="s">
        <v>38</v>
      </c>
      <c r="S1083" t="s">
        <v>42</v>
      </c>
      <c r="T1083" t="s">
        <v>42</v>
      </c>
      <c r="U1083" t="s">
        <v>1153</v>
      </c>
      <c r="V1083" t="s">
        <v>636</v>
      </c>
      <c r="W1083" t="s">
        <v>1153</v>
      </c>
      <c r="X1083" t="s">
        <v>824</v>
      </c>
      <c r="Y1083" t="s">
        <v>1066</v>
      </c>
      <c r="Z1083" t="s">
        <v>47</v>
      </c>
      <c r="AA1083"/>
      <c r="AB1083"/>
      <c r="AC1083"/>
      <c r="AD1083" t="s">
        <v>638</v>
      </c>
    </row>
    <row r="1084" spans="1:30">
      <c r="A1084">
        <v>3110110097</v>
      </c>
      <c r="B1084" t="s">
        <v>30</v>
      </c>
      <c r="C1084" t="s">
        <v>61</v>
      </c>
      <c r="D1084" t="s">
        <v>62</v>
      </c>
      <c r="E1084" t="s">
        <v>72</v>
      </c>
      <c r="F1084" t="s">
        <v>166</v>
      </c>
      <c r="G1084" t="s">
        <v>167</v>
      </c>
      <c r="H1084" t="s">
        <v>35</v>
      </c>
      <c r="I1084" t="s">
        <v>168</v>
      </c>
      <c r="J1084" t="s">
        <v>900</v>
      </c>
      <c r="K1084" t="str">
        <f>"L19170925062"</f>
        <v>0</v>
      </c>
      <c r="L1084">
        <v>65000</v>
      </c>
      <c r="M1084"/>
      <c r="N1084" t="s">
        <v>38</v>
      </c>
      <c r="O1084" t="s">
        <v>38</v>
      </c>
      <c r="P1084" t="s">
        <v>53</v>
      </c>
      <c r="Q1084" t="s">
        <v>38</v>
      </c>
      <c r="R1084" t="s">
        <v>38</v>
      </c>
      <c r="S1084" t="s">
        <v>42</v>
      </c>
      <c r="T1084" t="s">
        <v>42</v>
      </c>
      <c r="U1084" t="s">
        <v>1153</v>
      </c>
      <c r="V1084" t="s">
        <v>636</v>
      </c>
      <c r="W1084" t="s">
        <v>1153</v>
      </c>
      <c r="X1084" t="s">
        <v>824</v>
      </c>
      <c r="Y1084" t="s">
        <v>1066</v>
      </c>
      <c r="Z1084" t="s">
        <v>47</v>
      </c>
      <c r="AA1084"/>
      <c r="AB1084"/>
      <c r="AC1084"/>
      <c r="AD1084" t="s">
        <v>638</v>
      </c>
    </row>
    <row r="1085" spans="1:30">
      <c r="A1085">
        <v>3110110114</v>
      </c>
      <c r="B1085" t="s">
        <v>30</v>
      </c>
      <c r="C1085" t="s">
        <v>61</v>
      </c>
      <c r="D1085" t="s">
        <v>62</v>
      </c>
      <c r="E1085" t="s">
        <v>79</v>
      </c>
      <c r="F1085" t="s">
        <v>246</v>
      </c>
      <c r="G1085" t="s">
        <v>247</v>
      </c>
      <c r="H1085" t="s">
        <v>50</v>
      </c>
      <c r="I1085" t="s">
        <v>778</v>
      </c>
      <c r="J1085" t="s">
        <v>1157</v>
      </c>
      <c r="K1085" t="str">
        <f>"PO-TGSA-0043"</f>
        <v>0</v>
      </c>
      <c r="L1085">
        <v>29169</v>
      </c>
      <c r="M1085"/>
      <c r="N1085" t="s">
        <v>38</v>
      </c>
      <c r="O1085" t="s">
        <v>38</v>
      </c>
      <c r="P1085" t="s">
        <v>53</v>
      </c>
      <c r="Q1085" t="s">
        <v>38</v>
      </c>
      <c r="R1085" t="s">
        <v>38</v>
      </c>
      <c r="S1085" t="s">
        <v>42</v>
      </c>
      <c r="T1085" t="s">
        <v>42</v>
      </c>
      <c r="U1085" t="s">
        <v>1153</v>
      </c>
      <c r="V1085" t="s">
        <v>636</v>
      </c>
      <c r="W1085" t="s">
        <v>1153</v>
      </c>
      <c r="X1085" t="s">
        <v>824</v>
      </c>
      <c r="Y1085" t="s">
        <v>1066</v>
      </c>
      <c r="Z1085" t="s">
        <v>47</v>
      </c>
      <c r="AA1085"/>
      <c r="AB1085"/>
      <c r="AC1085"/>
      <c r="AD1085" t="s">
        <v>638</v>
      </c>
    </row>
    <row r="1086" spans="1:30">
      <c r="A1086">
        <v>2110060034</v>
      </c>
      <c r="B1086" t="s">
        <v>30</v>
      </c>
      <c r="C1086" t="s">
        <v>31</v>
      </c>
      <c r="D1086" t="s">
        <v>32</v>
      </c>
      <c r="E1086" t="s">
        <v>33</v>
      </c>
      <c r="F1086" t="s">
        <v>125</v>
      </c>
      <c r="G1086" t="s">
        <v>126</v>
      </c>
      <c r="H1086" t="s">
        <v>35</v>
      </c>
      <c r="I1086" t="s">
        <v>311</v>
      </c>
      <c r="J1086" t="s">
        <v>1158</v>
      </c>
      <c r="K1086" t="str">
        <f>"SZ91980110"</f>
        <v>0</v>
      </c>
      <c r="L1086">
        <v>1430000</v>
      </c>
      <c r="M1086"/>
      <c r="N1086" t="s">
        <v>1159</v>
      </c>
      <c r="O1086" t="s">
        <v>38</v>
      </c>
      <c r="P1086" t="s">
        <v>53</v>
      </c>
      <c r="Q1086" t="s">
        <v>38</v>
      </c>
      <c r="R1086" t="s">
        <v>38</v>
      </c>
      <c r="S1086" t="s">
        <v>42</v>
      </c>
      <c r="T1086" t="s">
        <v>42</v>
      </c>
      <c r="U1086" t="s">
        <v>1153</v>
      </c>
      <c r="V1086" t="s">
        <v>636</v>
      </c>
      <c r="W1086" t="s">
        <v>1153</v>
      </c>
      <c r="X1086" t="s">
        <v>824</v>
      </c>
      <c r="Y1086" t="s">
        <v>861</v>
      </c>
      <c r="Z1086" t="s">
        <v>47</v>
      </c>
      <c r="AA1086"/>
      <c r="AB1086"/>
      <c r="AC1086"/>
      <c r="AD1086" t="s">
        <v>638</v>
      </c>
    </row>
    <row r="1087" spans="1:30">
      <c r="A1087">
        <v>2110060036</v>
      </c>
      <c r="B1087" t="s">
        <v>30</v>
      </c>
      <c r="C1087" t="s">
        <v>31</v>
      </c>
      <c r="D1087" t="s">
        <v>32</v>
      </c>
      <c r="E1087" t="s">
        <v>33</v>
      </c>
      <c r="F1087" t="s">
        <v>125</v>
      </c>
      <c r="G1087" t="s">
        <v>1160</v>
      </c>
      <c r="H1087" t="s">
        <v>35</v>
      </c>
      <c r="I1087" t="s">
        <v>1161</v>
      </c>
      <c r="J1087" t="s">
        <v>1162</v>
      </c>
      <c r="K1087" t="str">
        <f>"33587SM9"</f>
        <v>0</v>
      </c>
      <c r="L1087">
        <v>450655</v>
      </c>
      <c r="M1087"/>
      <c r="N1087" t="s">
        <v>1163</v>
      </c>
      <c r="O1087" t="s">
        <v>38</v>
      </c>
      <c r="P1087" t="s">
        <v>53</v>
      </c>
      <c r="Q1087" t="s">
        <v>38</v>
      </c>
      <c r="R1087" t="s">
        <v>38</v>
      </c>
      <c r="S1087" t="s">
        <v>266</v>
      </c>
      <c r="T1087" t="s">
        <v>266</v>
      </c>
      <c r="U1087" t="s">
        <v>1153</v>
      </c>
      <c r="V1087" t="s">
        <v>636</v>
      </c>
      <c r="W1087" t="s">
        <v>1153</v>
      </c>
      <c r="X1087" t="s">
        <v>824</v>
      </c>
      <c r="Y1087" t="s">
        <v>861</v>
      </c>
      <c r="Z1087" t="s">
        <v>70</v>
      </c>
      <c r="AA1087"/>
      <c r="AB1087"/>
      <c r="AC1087"/>
      <c r="AD1087" t="s">
        <v>1164</v>
      </c>
    </row>
    <row r="1088" spans="1:30">
      <c r="A1088">
        <v>3110100126</v>
      </c>
      <c r="B1088" t="s">
        <v>30</v>
      </c>
      <c r="C1088" t="s">
        <v>61</v>
      </c>
      <c r="D1088" t="s">
        <v>71</v>
      </c>
      <c r="E1088" t="s">
        <v>1156</v>
      </c>
      <c r="F1088" t="s">
        <v>125</v>
      </c>
      <c r="G1088" t="s">
        <v>126</v>
      </c>
      <c r="H1088" t="s">
        <v>35</v>
      </c>
      <c r="I1088" t="s">
        <v>311</v>
      </c>
      <c r="J1088" t="s">
        <v>1158</v>
      </c>
      <c r="K1088" t="str">
        <f>"SZ21980688"</f>
        <v>0</v>
      </c>
      <c r="L1088">
        <v>1430000</v>
      </c>
      <c r="M1088"/>
      <c r="N1088" t="s">
        <v>38</v>
      </c>
      <c r="O1088" t="s">
        <v>38</v>
      </c>
      <c r="P1088" t="s">
        <v>53</v>
      </c>
      <c r="Q1088" t="s">
        <v>38</v>
      </c>
      <c r="R1088" t="s">
        <v>38</v>
      </c>
      <c r="S1088" t="s">
        <v>42</v>
      </c>
      <c r="T1088" t="s">
        <v>42</v>
      </c>
      <c r="U1088" t="s">
        <v>1153</v>
      </c>
      <c r="V1088" t="s">
        <v>636</v>
      </c>
      <c r="W1088" t="s">
        <v>1153</v>
      </c>
      <c r="X1088" t="s">
        <v>824</v>
      </c>
      <c r="Y1088" t="s">
        <v>989</v>
      </c>
      <c r="Z1088" t="s">
        <v>47</v>
      </c>
      <c r="AA1088"/>
      <c r="AB1088"/>
      <c r="AC1088"/>
      <c r="AD1088" t="s">
        <v>638</v>
      </c>
    </row>
    <row r="1089" spans="1:30">
      <c r="A1089">
        <v>2110060240</v>
      </c>
      <c r="B1089" t="s">
        <v>30</v>
      </c>
      <c r="C1089" t="s">
        <v>31</v>
      </c>
      <c r="D1089" t="s">
        <v>32</v>
      </c>
      <c r="E1089" t="s">
        <v>112</v>
      </c>
      <c r="F1089" t="s">
        <v>64</v>
      </c>
      <c r="G1089" t="s">
        <v>99</v>
      </c>
      <c r="H1089" t="s">
        <v>50</v>
      </c>
      <c r="I1089" t="s">
        <v>311</v>
      </c>
      <c r="J1089" t="s">
        <v>426</v>
      </c>
      <c r="K1089" t="str">
        <f>"2020401"</f>
        <v>0</v>
      </c>
      <c r="L1089">
        <v>36000</v>
      </c>
      <c r="M1089"/>
      <c r="N1089" t="s">
        <v>38</v>
      </c>
      <c r="O1089" t="s">
        <v>38</v>
      </c>
      <c r="P1089" t="s">
        <v>53</v>
      </c>
      <c r="Q1089" t="s">
        <v>38</v>
      </c>
      <c r="R1089" t="s">
        <v>38</v>
      </c>
      <c r="S1089" t="s">
        <v>42</v>
      </c>
      <c r="T1089" t="s">
        <v>42</v>
      </c>
      <c r="U1089" t="s">
        <v>1153</v>
      </c>
      <c r="V1089" t="s">
        <v>44</v>
      </c>
      <c r="W1089" t="s">
        <v>1153</v>
      </c>
      <c r="X1089" t="s">
        <v>824</v>
      </c>
      <c r="Y1089" t="s">
        <v>1152</v>
      </c>
      <c r="Z1089" t="s">
        <v>47</v>
      </c>
      <c r="AA1089"/>
      <c r="AB1089"/>
      <c r="AC1089"/>
      <c r="AD1089"/>
    </row>
    <row r="1090" spans="1:30">
      <c r="A1090">
        <v>2110060241</v>
      </c>
      <c r="B1090" t="s">
        <v>30</v>
      </c>
      <c r="C1090" t="s">
        <v>31</v>
      </c>
      <c r="D1090" t="s">
        <v>32</v>
      </c>
      <c r="E1090" t="s">
        <v>112</v>
      </c>
      <c r="F1090" t="s">
        <v>64</v>
      </c>
      <c r="G1090" t="s">
        <v>99</v>
      </c>
      <c r="H1090" t="s">
        <v>50</v>
      </c>
      <c r="I1090" t="s">
        <v>311</v>
      </c>
      <c r="J1090" t="s">
        <v>426</v>
      </c>
      <c r="K1090" t="str">
        <f>"2023799"</f>
        <v>0</v>
      </c>
      <c r="L1090">
        <v>36000</v>
      </c>
      <c r="M1090"/>
      <c r="N1090" t="s">
        <v>38</v>
      </c>
      <c r="O1090" t="s">
        <v>38</v>
      </c>
      <c r="P1090" t="s">
        <v>53</v>
      </c>
      <c r="Q1090" t="s">
        <v>38</v>
      </c>
      <c r="R1090" t="s">
        <v>38</v>
      </c>
      <c r="S1090" t="s">
        <v>42</v>
      </c>
      <c r="T1090" t="s">
        <v>42</v>
      </c>
      <c r="U1090" t="s">
        <v>1153</v>
      </c>
      <c r="V1090" t="s">
        <v>44</v>
      </c>
      <c r="W1090" t="s">
        <v>1153</v>
      </c>
      <c r="X1090" t="s">
        <v>824</v>
      </c>
      <c r="Y1090" t="s">
        <v>1152</v>
      </c>
      <c r="Z1090" t="s">
        <v>47</v>
      </c>
      <c r="AA1090"/>
      <c r="AB1090"/>
      <c r="AC1090"/>
      <c r="AD1090"/>
    </row>
    <row r="1091" spans="1:30">
      <c r="A1091">
        <v>2110060242</v>
      </c>
      <c r="B1091" t="s">
        <v>30</v>
      </c>
      <c r="C1091" t="s">
        <v>31</v>
      </c>
      <c r="D1091" t="s">
        <v>32</v>
      </c>
      <c r="E1091" t="s">
        <v>112</v>
      </c>
      <c r="F1091" t="s">
        <v>64</v>
      </c>
      <c r="G1091" t="s">
        <v>99</v>
      </c>
      <c r="H1091" t="s">
        <v>50</v>
      </c>
      <c r="I1091" t="s">
        <v>311</v>
      </c>
      <c r="J1091" t="s">
        <v>426</v>
      </c>
      <c r="K1091" t="str">
        <f>"2023768"</f>
        <v>0</v>
      </c>
      <c r="L1091">
        <v>36000</v>
      </c>
      <c r="M1091"/>
      <c r="N1091" t="s">
        <v>38</v>
      </c>
      <c r="O1091" t="s">
        <v>38</v>
      </c>
      <c r="P1091" t="s">
        <v>53</v>
      </c>
      <c r="Q1091" t="s">
        <v>38</v>
      </c>
      <c r="R1091" t="s">
        <v>38</v>
      </c>
      <c r="S1091" t="s">
        <v>42</v>
      </c>
      <c r="T1091" t="s">
        <v>42</v>
      </c>
      <c r="U1091" t="s">
        <v>1153</v>
      </c>
      <c r="V1091" t="s">
        <v>44</v>
      </c>
      <c r="W1091" t="s">
        <v>1153</v>
      </c>
      <c r="X1091" t="s">
        <v>824</v>
      </c>
      <c r="Y1091" t="s">
        <v>1152</v>
      </c>
      <c r="Z1091" t="s">
        <v>47</v>
      </c>
      <c r="AA1091"/>
      <c r="AB1091"/>
      <c r="AC1091"/>
      <c r="AD1091"/>
    </row>
    <row r="1092" spans="1:30">
      <c r="A1092">
        <v>2110060243</v>
      </c>
      <c r="B1092" t="s">
        <v>30</v>
      </c>
      <c r="C1092" t="s">
        <v>31</v>
      </c>
      <c r="D1092" t="s">
        <v>32</v>
      </c>
      <c r="E1092" t="s">
        <v>112</v>
      </c>
      <c r="F1092" t="s">
        <v>64</v>
      </c>
      <c r="G1092" t="s">
        <v>99</v>
      </c>
      <c r="H1092" t="s">
        <v>50</v>
      </c>
      <c r="I1092" t="s">
        <v>311</v>
      </c>
      <c r="J1092" t="s">
        <v>426</v>
      </c>
      <c r="K1092" t="str">
        <f>"2023787"</f>
        <v>0</v>
      </c>
      <c r="L1092">
        <v>36000</v>
      </c>
      <c r="M1092"/>
      <c r="N1092" t="s">
        <v>38</v>
      </c>
      <c r="O1092" t="s">
        <v>38</v>
      </c>
      <c r="P1092" t="s">
        <v>53</v>
      </c>
      <c r="Q1092" t="s">
        <v>38</v>
      </c>
      <c r="R1092" t="s">
        <v>38</v>
      </c>
      <c r="S1092" t="s">
        <v>42</v>
      </c>
      <c r="T1092" t="s">
        <v>42</v>
      </c>
      <c r="U1092" t="s">
        <v>1153</v>
      </c>
      <c r="V1092" t="s">
        <v>44</v>
      </c>
      <c r="W1092" t="s">
        <v>1153</v>
      </c>
      <c r="X1092" t="s">
        <v>824</v>
      </c>
      <c r="Y1092" t="s">
        <v>1152</v>
      </c>
      <c r="Z1092" t="s">
        <v>47</v>
      </c>
      <c r="AA1092"/>
      <c r="AB1092"/>
      <c r="AC1092"/>
      <c r="AD1092"/>
    </row>
    <row r="1093" spans="1:30">
      <c r="A1093">
        <v>2110060244</v>
      </c>
      <c r="B1093" t="s">
        <v>30</v>
      </c>
      <c r="C1093" t="s">
        <v>31</v>
      </c>
      <c r="D1093" t="s">
        <v>32</v>
      </c>
      <c r="E1093" t="s">
        <v>112</v>
      </c>
      <c r="F1093" t="s">
        <v>64</v>
      </c>
      <c r="G1093" t="s">
        <v>99</v>
      </c>
      <c r="H1093" t="s">
        <v>50</v>
      </c>
      <c r="I1093" t="s">
        <v>311</v>
      </c>
      <c r="J1093" t="s">
        <v>426</v>
      </c>
      <c r="K1093" t="str">
        <f>"2016494"</f>
        <v>0</v>
      </c>
      <c r="L1093">
        <v>36000</v>
      </c>
      <c r="M1093"/>
      <c r="N1093" t="s">
        <v>38</v>
      </c>
      <c r="O1093" t="s">
        <v>38</v>
      </c>
      <c r="P1093" t="s">
        <v>53</v>
      </c>
      <c r="Q1093" t="s">
        <v>38</v>
      </c>
      <c r="R1093" t="s">
        <v>38</v>
      </c>
      <c r="S1093" t="s">
        <v>42</v>
      </c>
      <c r="T1093" t="s">
        <v>42</v>
      </c>
      <c r="U1093" t="s">
        <v>1153</v>
      </c>
      <c r="V1093" t="s">
        <v>44</v>
      </c>
      <c r="W1093" t="s">
        <v>1153</v>
      </c>
      <c r="X1093" t="s">
        <v>824</v>
      </c>
      <c r="Y1093" t="s">
        <v>1152</v>
      </c>
      <c r="Z1093" t="s">
        <v>47</v>
      </c>
      <c r="AA1093"/>
      <c r="AB1093"/>
      <c r="AC1093"/>
      <c r="AD1093"/>
    </row>
    <row r="1094" spans="1:30">
      <c r="A1094">
        <v>3110110047</v>
      </c>
      <c r="B1094" t="s">
        <v>30</v>
      </c>
      <c r="C1094" t="s">
        <v>61</v>
      </c>
      <c r="D1094" t="s">
        <v>62</v>
      </c>
      <c r="E1094" t="s">
        <v>1063</v>
      </c>
      <c r="F1094" t="s">
        <v>147</v>
      </c>
      <c r="G1094" t="s">
        <v>148</v>
      </c>
      <c r="H1094" t="s">
        <v>35</v>
      </c>
      <c r="I1094" t="s">
        <v>609</v>
      </c>
      <c r="J1094" t="s">
        <v>1165</v>
      </c>
      <c r="K1094" t="str">
        <f>"CGML6H29084"</f>
        <v>0</v>
      </c>
      <c r="L1094">
        <v>25625</v>
      </c>
      <c r="M1094"/>
      <c r="N1094" t="s">
        <v>38</v>
      </c>
      <c r="O1094" t="s">
        <v>38</v>
      </c>
      <c r="P1094" t="s">
        <v>53</v>
      </c>
      <c r="Q1094" t="s">
        <v>38</v>
      </c>
      <c r="R1094" t="s">
        <v>38</v>
      </c>
      <c r="S1094" t="s">
        <v>42</v>
      </c>
      <c r="T1094" t="s">
        <v>42</v>
      </c>
      <c r="U1094" t="s">
        <v>1166</v>
      </c>
      <c r="V1094" t="s">
        <v>636</v>
      </c>
      <c r="W1094" t="s">
        <v>1166</v>
      </c>
      <c r="X1094" t="s">
        <v>824</v>
      </c>
      <c r="Y1094" t="s">
        <v>1053</v>
      </c>
      <c r="Z1094" t="s">
        <v>47</v>
      </c>
      <c r="AA1094"/>
      <c r="AB1094"/>
      <c r="AC1094"/>
      <c r="AD1094" t="s">
        <v>638</v>
      </c>
    </row>
    <row r="1095" spans="1:30">
      <c r="A1095">
        <v>3110100154</v>
      </c>
      <c r="B1095" t="s">
        <v>30</v>
      </c>
      <c r="C1095" t="s">
        <v>61</v>
      </c>
      <c r="D1095" t="s">
        <v>71</v>
      </c>
      <c r="E1095" t="s">
        <v>446</v>
      </c>
      <c r="F1095" t="s">
        <v>64</v>
      </c>
      <c r="G1095" t="s">
        <v>99</v>
      </c>
      <c r="H1095" t="s">
        <v>50</v>
      </c>
      <c r="I1095" t="s">
        <v>408</v>
      </c>
      <c r="J1095" t="s">
        <v>770</v>
      </c>
      <c r="K1095" t="str">
        <f>"MZJ10D48743"</f>
        <v>0</v>
      </c>
      <c r="L1095">
        <v>86400</v>
      </c>
      <c r="M1095"/>
      <c r="N1095" t="s">
        <v>38</v>
      </c>
      <c r="O1095" t="s">
        <v>38</v>
      </c>
      <c r="P1095" t="s">
        <v>53</v>
      </c>
      <c r="Q1095" t="s">
        <v>38</v>
      </c>
      <c r="R1095" t="s">
        <v>38</v>
      </c>
      <c r="S1095" t="s">
        <v>42</v>
      </c>
      <c r="T1095" t="s">
        <v>42</v>
      </c>
      <c r="U1095" t="s">
        <v>1166</v>
      </c>
      <c r="V1095" t="s">
        <v>636</v>
      </c>
      <c r="W1095" t="s">
        <v>1166</v>
      </c>
      <c r="X1095" t="s">
        <v>824</v>
      </c>
      <c r="Y1095" t="s">
        <v>1167</v>
      </c>
      <c r="Z1095" t="s">
        <v>47</v>
      </c>
      <c r="AA1095"/>
      <c r="AB1095"/>
      <c r="AC1095"/>
      <c r="AD1095"/>
    </row>
    <row r="1096" spans="1:30">
      <c r="A1096">
        <v>3110090019</v>
      </c>
      <c r="B1096" t="s">
        <v>30</v>
      </c>
      <c r="C1096" t="s">
        <v>61</v>
      </c>
      <c r="D1096" t="s">
        <v>133</v>
      </c>
      <c r="E1096" t="s">
        <v>146</v>
      </c>
      <c r="F1096" t="s">
        <v>147</v>
      </c>
      <c r="G1096" t="s">
        <v>148</v>
      </c>
      <c r="H1096" t="s">
        <v>35</v>
      </c>
      <c r="I1096" t="s">
        <v>262</v>
      </c>
      <c r="J1096" t="s">
        <v>904</v>
      </c>
      <c r="K1096" t="str">
        <f>"1310052040379"</f>
        <v>0</v>
      </c>
      <c r="L1096">
        <v>24581</v>
      </c>
      <c r="M1096"/>
      <c r="N1096" t="s">
        <v>38</v>
      </c>
      <c r="O1096" t="s">
        <v>38</v>
      </c>
      <c r="P1096" t="s">
        <v>53</v>
      </c>
      <c r="Q1096" t="s">
        <v>38</v>
      </c>
      <c r="R1096" t="s">
        <v>38</v>
      </c>
      <c r="S1096" t="s">
        <v>42</v>
      </c>
      <c r="T1096" t="s">
        <v>42</v>
      </c>
      <c r="U1096" t="s">
        <v>1166</v>
      </c>
      <c r="V1096" t="s">
        <v>1022</v>
      </c>
      <c r="W1096" t="s">
        <v>1166</v>
      </c>
      <c r="X1096" t="s">
        <v>824</v>
      </c>
      <c r="Y1096" t="s">
        <v>1023</v>
      </c>
      <c r="Z1096" t="s">
        <v>47</v>
      </c>
      <c r="AA1096"/>
      <c r="AB1096"/>
      <c r="AC1096"/>
      <c r="AD1096"/>
    </row>
    <row r="1097" spans="1:30">
      <c r="A1097">
        <v>3110090020</v>
      </c>
      <c r="B1097" t="s">
        <v>30</v>
      </c>
      <c r="C1097" t="s">
        <v>61</v>
      </c>
      <c r="D1097" t="s">
        <v>133</v>
      </c>
      <c r="E1097" t="s">
        <v>146</v>
      </c>
      <c r="F1097" t="s">
        <v>147</v>
      </c>
      <c r="G1097" t="s">
        <v>148</v>
      </c>
      <c r="H1097" t="s">
        <v>35</v>
      </c>
      <c r="I1097" t="s">
        <v>262</v>
      </c>
      <c r="J1097" t="s">
        <v>1168</v>
      </c>
      <c r="K1097" t="str">
        <f>"na"</f>
        <v>0</v>
      </c>
      <c r="L1097">
        <v>24581</v>
      </c>
      <c r="M1097"/>
      <c r="N1097" t="s">
        <v>38</v>
      </c>
      <c r="O1097" t="s">
        <v>38</v>
      </c>
      <c r="P1097" t="s">
        <v>53</v>
      </c>
      <c r="Q1097" t="s">
        <v>38</v>
      </c>
      <c r="R1097" t="s">
        <v>38</v>
      </c>
      <c r="S1097" t="s">
        <v>42</v>
      </c>
      <c r="T1097" t="s">
        <v>42</v>
      </c>
      <c r="U1097" t="s">
        <v>1166</v>
      </c>
      <c r="V1097" t="s">
        <v>1022</v>
      </c>
      <c r="W1097" t="s">
        <v>1166</v>
      </c>
      <c r="X1097" t="s">
        <v>824</v>
      </c>
      <c r="Y1097" t="s">
        <v>1023</v>
      </c>
      <c r="Z1097" t="s">
        <v>47</v>
      </c>
      <c r="AA1097"/>
      <c r="AB1097"/>
      <c r="AC1097"/>
      <c r="AD1097"/>
    </row>
    <row r="1098" spans="1:30">
      <c r="A1098">
        <v>3110090021</v>
      </c>
      <c r="B1098" t="s">
        <v>30</v>
      </c>
      <c r="C1098" t="s">
        <v>61</v>
      </c>
      <c r="D1098" t="s">
        <v>133</v>
      </c>
      <c r="E1098" t="s">
        <v>146</v>
      </c>
      <c r="F1098" t="s">
        <v>147</v>
      </c>
      <c r="G1098" t="s">
        <v>148</v>
      </c>
      <c r="H1098" t="s">
        <v>35</v>
      </c>
      <c r="I1098" t="s">
        <v>262</v>
      </c>
      <c r="J1098" t="s">
        <v>1168</v>
      </c>
      <c r="K1098" t="str">
        <f>"2k1207521199_p"</f>
        <v>0</v>
      </c>
      <c r="L1098">
        <v>24581</v>
      </c>
      <c r="M1098"/>
      <c r="N1098" t="s">
        <v>38</v>
      </c>
      <c r="O1098" t="s">
        <v>38</v>
      </c>
      <c r="P1098" t="s">
        <v>53</v>
      </c>
      <c r="Q1098" t="s">
        <v>38</v>
      </c>
      <c r="R1098" t="s">
        <v>38</v>
      </c>
      <c r="S1098" t="s">
        <v>42</v>
      </c>
      <c r="T1098" t="s">
        <v>42</v>
      </c>
      <c r="U1098" t="s">
        <v>1166</v>
      </c>
      <c r="V1098" t="s">
        <v>1022</v>
      </c>
      <c r="W1098" t="s">
        <v>1166</v>
      </c>
      <c r="X1098" t="s">
        <v>824</v>
      </c>
      <c r="Y1098" t="s">
        <v>1023</v>
      </c>
      <c r="Z1098" t="s">
        <v>47</v>
      </c>
      <c r="AA1098"/>
      <c r="AB1098"/>
      <c r="AC1098"/>
      <c r="AD1098"/>
    </row>
    <row r="1099" spans="1:30">
      <c r="A1099">
        <v>4110020008</v>
      </c>
      <c r="B1099" t="s">
        <v>30</v>
      </c>
      <c r="C1099" t="s">
        <v>88</v>
      </c>
      <c r="D1099" t="s">
        <v>111</v>
      </c>
      <c r="E1099" t="s">
        <v>146</v>
      </c>
      <c r="F1099" t="s">
        <v>147</v>
      </c>
      <c r="G1099" t="s">
        <v>148</v>
      </c>
      <c r="H1099" t="s">
        <v>35</v>
      </c>
      <c r="I1099" t="s">
        <v>262</v>
      </c>
      <c r="J1099" t="s">
        <v>349</v>
      </c>
      <c r="K1099" t="str">
        <f>"1310052040380"</f>
        <v>0</v>
      </c>
      <c r="L1099">
        <v>24581</v>
      </c>
      <c r="M1099"/>
      <c r="N1099" t="s">
        <v>38</v>
      </c>
      <c r="O1099" t="s">
        <v>38</v>
      </c>
      <c r="P1099" t="s">
        <v>53</v>
      </c>
      <c r="Q1099" t="s">
        <v>38</v>
      </c>
      <c r="R1099" t="s">
        <v>38</v>
      </c>
      <c r="S1099" t="s">
        <v>42</v>
      </c>
      <c r="T1099" t="s">
        <v>42</v>
      </c>
      <c r="U1099" t="s">
        <v>1166</v>
      </c>
      <c r="V1099" t="s">
        <v>1068</v>
      </c>
      <c r="W1099" t="s">
        <v>1166</v>
      </c>
      <c r="X1099" t="s">
        <v>824</v>
      </c>
      <c r="Y1099" t="s">
        <v>1107</v>
      </c>
      <c r="Z1099" t="s">
        <v>47</v>
      </c>
      <c r="AA1099"/>
      <c r="AB1099"/>
      <c r="AC1099"/>
      <c r="AD1099" t="s">
        <v>638</v>
      </c>
    </row>
    <row r="1100" spans="1:30">
      <c r="A1100">
        <v>2110060054</v>
      </c>
      <c r="B1100" t="s">
        <v>30</v>
      </c>
      <c r="C1100" t="s">
        <v>31</v>
      </c>
      <c r="D1100" t="s">
        <v>32</v>
      </c>
      <c r="E1100" t="s">
        <v>868</v>
      </c>
      <c r="F1100" t="s">
        <v>401</v>
      </c>
      <c r="G1100" t="s">
        <v>402</v>
      </c>
      <c r="H1100" t="s">
        <v>50</v>
      </c>
      <c r="I1100" t="s">
        <v>447</v>
      </c>
      <c r="J1100" t="s">
        <v>315</v>
      </c>
      <c r="K1100" t="str">
        <f>"1507412634"</f>
        <v>0</v>
      </c>
      <c r="L1100">
        <v>169935</v>
      </c>
      <c r="M1100"/>
      <c r="N1100" t="s">
        <v>1169</v>
      </c>
      <c r="O1100" t="s">
        <v>38</v>
      </c>
      <c r="P1100" t="s">
        <v>53</v>
      </c>
      <c r="Q1100" t="s">
        <v>38</v>
      </c>
      <c r="R1100" t="s">
        <v>38</v>
      </c>
      <c r="S1100" t="s">
        <v>42</v>
      </c>
      <c r="T1100" t="s">
        <v>42</v>
      </c>
      <c r="U1100" t="s">
        <v>1166</v>
      </c>
      <c r="V1100" t="s">
        <v>636</v>
      </c>
      <c r="W1100" t="s">
        <v>1166</v>
      </c>
      <c r="X1100" t="s">
        <v>824</v>
      </c>
      <c r="Y1100" t="s">
        <v>861</v>
      </c>
      <c r="Z1100" t="s">
        <v>47</v>
      </c>
      <c r="AA1100"/>
      <c r="AB1100"/>
      <c r="AC1100"/>
      <c r="AD1100" t="s">
        <v>638</v>
      </c>
    </row>
    <row r="1101" spans="1:30">
      <c r="A1101">
        <v>3110100019</v>
      </c>
      <c r="B1101" t="s">
        <v>30</v>
      </c>
      <c r="C1101" t="s">
        <v>61</v>
      </c>
      <c r="D1101" t="s">
        <v>71</v>
      </c>
      <c r="E1101" t="s">
        <v>55</v>
      </c>
      <c r="F1101" t="s">
        <v>401</v>
      </c>
      <c r="G1101" t="s">
        <v>402</v>
      </c>
      <c r="H1101" t="s">
        <v>50</v>
      </c>
      <c r="I1101" t="s">
        <v>404</v>
      </c>
      <c r="J1101" t="s">
        <v>405</v>
      </c>
      <c r="K1101" t="str">
        <f>"7-sp-10-19"</f>
        <v>0</v>
      </c>
      <c r="L1101">
        <v>355071</v>
      </c>
      <c r="M1101"/>
      <c r="N1101" t="s">
        <v>38</v>
      </c>
      <c r="O1101" t="s">
        <v>38</v>
      </c>
      <c r="P1101" t="s">
        <v>53</v>
      </c>
      <c r="Q1101" t="s">
        <v>38</v>
      </c>
      <c r="R1101" t="s">
        <v>38</v>
      </c>
      <c r="S1101" t="s">
        <v>42</v>
      </c>
      <c r="T1101" t="s">
        <v>42</v>
      </c>
      <c r="U1101" t="s">
        <v>1170</v>
      </c>
      <c r="V1101" t="s">
        <v>925</v>
      </c>
      <c r="W1101" t="s">
        <v>1170</v>
      </c>
      <c r="X1101" t="s">
        <v>824</v>
      </c>
      <c r="Y1101" t="s">
        <v>926</v>
      </c>
      <c r="Z1101" t="s">
        <v>47</v>
      </c>
      <c r="AA1101"/>
      <c r="AB1101"/>
      <c r="AC1101"/>
      <c r="AD1101"/>
    </row>
    <row r="1102" spans="1:30">
      <c r="A1102">
        <v>3110100015</v>
      </c>
      <c r="B1102" t="s">
        <v>30</v>
      </c>
      <c r="C1102" t="s">
        <v>61</v>
      </c>
      <c r="D1102" t="s">
        <v>71</v>
      </c>
      <c r="E1102" t="s">
        <v>55</v>
      </c>
      <c r="F1102" t="s">
        <v>401</v>
      </c>
      <c r="G1102" t="s">
        <v>479</v>
      </c>
      <c r="H1102" t="s">
        <v>50</v>
      </c>
      <c r="I1102" t="s">
        <v>382</v>
      </c>
      <c r="J1102" t="s">
        <v>1171</v>
      </c>
      <c r="K1102" t="str">
        <f>"na"</f>
        <v>0</v>
      </c>
      <c r="L1102">
        <v>36750</v>
      </c>
      <c r="M1102"/>
      <c r="N1102" t="s">
        <v>38</v>
      </c>
      <c r="O1102" t="s">
        <v>38</v>
      </c>
      <c r="P1102" t="s">
        <v>53</v>
      </c>
      <c r="Q1102" t="s">
        <v>38</v>
      </c>
      <c r="R1102" t="s">
        <v>38</v>
      </c>
      <c r="S1102" t="s">
        <v>42</v>
      </c>
      <c r="T1102" t="s">
        <v>42</v>
      </c>
      <c r="U1102" t="s">
        <v>1170</v>
      </c>
      <c r="V1102" t="s">
        <v>925</v>
      </c>
      <c r="W1102" t="s">
        <v>1170</v>
      </c>
      <c r="X1102" t="s">
        <v>824</v>
      </c>
      <c r="Y1102" t="s">
        <v>926</v>
      </c>
      <c r="Z1102" t="s">
        <v>47</v>
      </c>
      <c r="AA1102"/>
      <c r="AB1102"/>
      <c r="AC1102"/>
      <c r="AD1102"/>
    </row>
    <row r="1103" spans="1:30">
      <c r="A1103">
        <v>4110040041</v>
      </c>
      <c r="B1103" t="s">
        <v>30</v>
      </c>
      <c r="C1103" t="s">
        <v>88</v>
      </c>
      <c r="D1103" t="s">
        <v>222</v>
      </c>
      <c r="E1103" t="s">
        <v>79</v>
      </c>
      <c r="F1103" t="s">
        <v>401</v>
      </c>
      <c r="G1103" t="s">
        <v>479</v>
      </c>
      <c r="H1103" t="s">
        <v>50</v>
      </c>
      <c r="I1103" t="s">
        <v>100</v>
      </c>
      <c r="J1103" t="s">
        <v>59</v>
      </c>
      <c r="K1103" t="str">
        <f>"na"</f>
        <v>0</v>
      </c>
      <c r="L1103">
        <v>25000</v>
      </c>
      <c r="M1103"/>
      <c r="N1103" t="s">
        <v>38</v>
      </c>
      <c r="O1103" t="s">
        <v>38</v>
      </c>
      <c r="P1103" t="s">
        <v>53</v>
      </c>
      <c r="Q1103" t="s">
        <v>38</v>
      </c>
      <c r="R1103" t="s">
        <v>38</v>
      </c>
      <c r="S1103" t="s">
        <v>42</v>
      </c>
      <c r="T1103" t="s">
        <v>42</v>
      </c>
      <c r="U1103" t="s">
        <v>1170</v>
      </c>
      <c r="V1103" t="s">
        <v>636</v>
      </c>
      <c r="W1103" t="s">
        <v>1170</v>
      </c>
      <c r="X1103" t="s">
        <v>824</v>
      </c>
      <c r="Y1103" t="s">
        <v>965</v>
      </c>
      <c r="Z1103" t="s">
        <v>47</v>
      </c>
      <c r="AA1103"/>
      <c r="AB1103"/>
      <c r="AC1103"/>
      <c r="AD1103" t="s">
        <v>638</v>
      </c>
    </row>
    <row r="1104" spans="1:30">
      <c r="A1104">
        <v>3110100106</v>
      </c>
      <c r="B1104" t="s">
        <v>30</v>
      </c>
      <c r="C1104" t="s">
        <v>61</v>
      </c>
      <c r="D1104" t="s">
        <v>71</v>
      </c>
      <c r="E1104" t="s">
        <v>79</v>
      </c>
      <c r="F1104" t="s">
        <v>401</v>
      </c>
      <c r="G1104" t="s">
        <v>402</v>
      </c>
      <c r="H1104" t="s">
        <v>50</v>
      </c>
      <c r="I1104" t="s">
        <v>404</v>
      </c>
      <c r="J1104" t="s">
        <v>405</v>
      </c>
      <c r="K1104" t="str">
        <f>"na"</f>
        <v>0</v>
      </c>
      <c r="L1104">
        <v>355071</v>
      </c>
      <c r="M1104"/>
      <c r="N1104" t="s">
        <v>38</v>
      </c>
      <c r="O1104" t="s">
        <v>38</v>
      </c>
      <c r="P1104" t="s">
        <v>53</v>
      </c>
      <c r="Q1104" t="s">
        <v>38</v>
      </c>
      <c r="R1104" t="s">
        <v>38</v>
      </c>
      <c r="S1104" t="s">
        <v>42</v>
      </c>
      <c r="T1104" t="s">
        <v>42</v>
      </c>
      <c r="U1104" t="s">
        <v>1170</v>
      </c>
      <c r="V1104" t="s">
        <v>636</v>
      </c>
      <c r="W1104" t="s">
        <v>1170</v>
      </c>
      <c r="X1104" t="s">
        <v>824</v>
      </c>
      <c r="Y1104" t="s">
        <v>989</v>
      </c>
      <c r="Z1104" t="s">
        <v>47</v>
      </c>
      <c r="AA1104"/>
      <c r="AB1104"/>
      <c r="AC1104"/>
      <c r="AD1104" t="s">
        <v>638</v>
      </c>
    </row>
    <row r="1105" spans="1:30">
      <c r="A1105">
        <v>3110090039</v>
      </c>
      <c r="B1105" t="s">
        <v>30</v>
      </c>
      <c r="C1105" t="s">
        <v>61</v>
      </c>
      <c r="D1105" t="s">
        <v>133</v>
      </c>
      <c r="E1105" t="s">
        <v>55</v>
      </c>
      <c r="F1105" t="s">
        <v>401</v>
      </c>
      <c r="G1105" t="s">
        <v>402</v>
      </c>
      <c r="H1105" t="s">
        <v>50</v>
      </c>
      <c r="I1105" t="s">
        <v>447</v>
      </c>
      <c r="J1105" t="s">
        <v>448</v>
      </c>
      <c r="K1105" t="str">
        <f>"1310_4126_13"</f>
        <v>0</v>
      </c>
      <c r="L1105">
        <v>169935</v>
      </c>
      <c r="M1105"/>
      <c r="N1105" t="s">
        <v>38</v>
      </c>
      <c r="O1105" t="s">
        <v>38</v>
      </c>
      <c r="P1105" t="s">
        <v>53</v>
      </c>
      <c r="Q1105" t="s">
        <v>38</v>
      </c>
      <c r="R1105" t="s">
        <v>38</v>
      </c>
      <c r="S1105" t="s">
        <v>42</v>
      </c>
      <c r="T1105" t="s">
        <v>42</v>
      </c>
      <c r="U1105" t="s">
        <v>1170</v>
      </c>
      <c r="V1105" t="s">
        <v>1022</v>
      </c>
      <c r="W1105" t="s">
        <v>1170</v>
      </c>
      <c r="X1105" t="s">
        <v>824</v>
      </c>
      <c r="Y1105" t="s">
        <v>1023</v>
      </c>
      <c r="Z1105" t="s">
        <v>47</v>
      </c>
      <c r="AA1105"/>
      <c r="AB1105"/>
      <c r="AC1105"/>
      <c r="AD1105"/>
    </row>
    <row r="1106" spans="1:30">
      <c r="A1106">
        <v>3110110043</v>
      </c>
      <c r="B1106" t="s">
        <v>30</v>
      </c>
      <c r="C1106" t="s">
        <v>61</v>
      </c>
      <c r="D1106" t="s">
        <v>62</v>
      </c>
      <c r="E1106" t="s">
        <v>1063</v>
      </c>
      <c r="F1106" t="s">
        <v>401</v>
      </c>
      <c r="G1106" t="s">
        <v>402</v>
      </c>
      <c r="H1106" t="s">
        <v>50</v>
      </c>
      <c r="I1106" t="s">
        <v>404</v>
      </c>
      <c r="J1106" t="s">
        <v>405</v>
      </c>
      <c r="K1106" t="str">
        <f>"NA"</f>
        <v>0</v>
      </c>
      <c r="L1106">
        <v>355071</v>
      </c>
      <c r="M1106"/>
      <c r="N1106" t="s">
        <v>38</v>
      </c>
      <c r="O1106" t="s">
        <v>38</v>
      </c>
      <c r="P1106" t="s">
        <v>53</v>
      </c>
      <c r="Q1106" t="s">
        <v>38</v>
      </c>
      <c r="R1106" t="s">
        <v>38</v>
      </c>
      <c r="S1106" t="s">
        <v>42</v>
      </c>
      <c r="T1106" t="s">
        <v>42</v>
      </c>
      <c r="U1106" t="s">
        <v>1170</v>
      </c>
      <c r="V1106" t="s">
        <v>636</v>
      </c>
      <c r="W1106" t="s">
        <v>1170</v>
      </c>
      <c r="X1106" t="s">
        <v>824</v>
      </c>
      <c r="Y1106" t="s">
        <v>1053</v>
      </c>
      <c r="Z1106" t="s">
        <v>47</v>
      </c>
      <c r="AA1106"/>
      <c r="AB1106"/>
      <c r="AC1106"/>
      <c r="AD1106" t="s">
        <v>638</v>
      </c>
    </row>
    <row r="1107" spans="1:30">
      <c r="A1107">
        <v>4110050009</v>
      </c>
      <c r="B1107" t="s">
        <v>30</v>
      </c>
      <c r="C1107" t="s">
        <v>88</v>
      </c>
      <c r="D1107" t="s">
        <v>165</v>
      </c>
      <c r="E1107" t="s">
        <v>79</v>
      </c>
      <c r="F1107" t="s">
        <v>401</v>
      </c>
      <c r="G1107" t="s">
        <v>1172</v>
      </c>
      <c r="H1107" t="s">
        <v>50</v>
      </c>
      <c r="I1107" t="s">
        <v>375</v>
      </c>
      <c r="J1107" t="s">
        <v>315</v>
      </c>
      <c r="K1107" t="str">
        <f>"n/a"</f>
        <v>0</v>
      </c>
      <c r="L1107">
        <v>500000</v>
      </c>
      <c r="M1107"/>
      <c r="N1107" t="s">
        <v>38</v>
      </c>
      <c r="O1107" t="s">
        <v>38</v>
      </c>
      <c r="P1107" t="s">
        <v>53</v>
      </c>
      <c r="Q1107" t="s">
        <v>38</v>
      </c>
      <c r="R1107" t="s">
        <v>38</v>
      </c>
      <c r="S1107" t="s">
        <v>42</v>
      </c>
      <c r="T1107" t="s">
        <v>42</v>
      </c>
      <c r="U1107" t="s">
        <v>1170</v>
      </c>
      <c r="V1107" t="s">
        <v>1068</v>
      </c>
      <c r="W1107" t="s">
        <v>1170</v>
      </c>
      <c r="X1107" t="s">
        <v>824</v>
      </c>
      <c r="Y1107" t="s">
        <v>1066</v>
      </c>
      <c r="Z1107" t="s">
        <v>47</v>
      </c>
      <c r="AA1107"/>
      <c r="AB1107"/>
      <c r="AC1107"/>
      <c r="AD1107" t="s">
        <v>638</v>
      </c>
    </row>
    <row r="1108" spans="1:30">
      <c r="A1108">
        <v>4110050028</v>
      </c>
      <c r="B1108" t="s">
        <v>30</v>
      </c>
      <c r="C1108" t="s">
        <v>88</v>
      </c>
      <c r="D1108" t="s">
        <v>165</v>
      </c>
      <c r="E1108" t="s">
        <v>104</v>
      </c>
      <c r="F1108" t="s">
        <v>401</v>
      </c>
      <c r="G1108" t="s">
        <v>1172</v>
      </c>
      <c r="H1108" t="s">
        <v>50</v>
      </c>
      <c r="I1108" t="s">
        <v>375</v>
      </c>
      <c r="J1108" t="s">
        <v>1173</v>
      </c>
      <c r="K1108" t="str">
        <f>"n/a"</f>
        <v>0</v>
      </c>
      <c r="L1108">
        <v>500000</v>
      </c>
      <c r="M1108"/>
      <c r="N1108" t="s">
        <v>38</v>
      </c>
      <c r="O1108" t="s">
        <v>38</v>
      </c>
      <c r="P1108" t="s">
        <v>53</v>
      </c>
      <c r="Q1108" t="s">
        <v>38</v>
      </c>
      <c r="R1108" t="s">
        <v>38</v>
      </c>
      <c r="S1108" t="s">
        <v>42</v>
      </c>
      <c r="T1108" t="s">
        <v>42</v>
      </c>
      <c r="U1108" t="s">
        <v>1170</v>
      </c>
      <c r="V1108" t="s">
        <v>1068</v>
      </c>
      <c r="W1108" t="s">
        <v>1170</v>
      </c>
      <c r="X1108" t="s">
        <v>824</v>
      </c>
      <c r="Y1108" t="s">
        <v>1066</v>
      </c>
      <c r="Z1108" t="s">
        <v>47</v>
      </c>
      <c r="AA1108"/>
      <c r="AB1108"/>
      <c r="AC1108"/>
      <c r="AD1108" t="s">
        <v>638</v>
      </c>
    </row>
    <row r="1109" spans="1:30">
      <c r="A1109">
        <v>4110010019</v>
      </c>
      <c r="B1109" t="s">
        <v>30</v>
      </c>
      <c r="C1109" t="s">
        <v>88</v>
      </c>
      <c r="D1109" t="s">
        <v>244</v>
      </c>
      <c r="E1109" t="s">
        <v>79</v>
      </c>
      <c r="F1109" t="s">
        <v>401</v>
      </c>
      <c r="G1109" t="s">
        <v>402</v>
      </c>
      <c r="H1109" t="s">
        <v>50</v>
      </c>
      <c r="I1109" t="s">
        <v>404</v>
      </c>
      <c r="J1109" t="s">
        <v>405</v>
      </c>
      <c r="K1109" t="str">
        <f>"12-cb-10-19"</f>
        <v>0</v>
      </c>
      <c r="L1109">
        <v>355071</v>
      </c>
      <c r="M1109"/>
      <c r="N1109" t="s">
        <v>38</v>
      </c>
      <c r="O1109" t="s">
        <v>38</v>
      </c>
      <c r="P1109" t="s">
        <v>53</v>
      </c>
      <c r="Q1109" t="s">
        <v>38</v>
      </c>
      <c r="R1109" t="s">
        <v>38</v>
      </c>
      <c r="S1109" t="s">
        <v>42</v>
      </c>
      <c r="T1109" t="s">
        <v>42</v>
      </c>
      <c r="U1109" t="s">
        <v>1170</v>
      </c>
      <c r="V1109" t="s">
        <v>1110</v>
      </c>
      <c r="W1109" t="s">
        <v>1170</v>
      </c>
      <c r="X1109" t="s">
        <v>824</v>
      </c>
      <c r="Y1109" t="s">
        <v>1107</v>
      </c>
      <c r="Z1109" t="s">
        <v>47</v>
      </c>
      <c r="AA1109"/>
      <c r="AB1109"/>
      <c r="AC1109"/>
      <c r="AD1109"/>
    </row>
    <row r="1110" spans="1:30">
      <c r="A1110">
        <v>3110090038</v>
      </c>
      <c r="B1110" t="s">
        <v>30</v>
      </c>
      <c r="C1110" t="s">
        <v>61</v>
      </c>
      <c r="D1110" t="s">
        <v>133</v>
      </c>
      <c r="E1110" t="s">
        <v>55</v>
      </c>
      <c r="F1110" t="s">
        <v>401</v>
      </c>
      <c r="G1110" t="s">
        <v>479</v>
      </c>
      <c r="H1110" t="s">
        <v>50</v>
      </c>
      <c r="I1110" t="s">
        <v>382</v>
      </c>
      <c r="J1110" t="s">
        <v>1173</v>
      </c>
      <c r="K1110" t="str">
        <f>"na"</f>
        <v>0</v>
      </c>
      <c r="L1110">
        <v>36750</v>
      </c>
      <c r="M1110"/>
      <c r="N1110" t="s">
        <v>38</v>
      </c>
      <c r="O1110" t="s">
        <v>38</v>
      </c>
      <c r="P1110" t="s">
        <v>53</v>
      </c>
      <c r="Q1110" t="s">
        <v>38</v>
      </c>
      <c r="R1110" t="s">
        <v>38</v>
      </c>
      <c r="S1110" t="s">
        <v>42</v>
      </c>
      <c r="T1110" t="s">
        <v>42</v>
      </c>
      <c r="U1110" t="s">
        <v>1167</v>
      </c>
      <c r="V1110" t="s">
        <v>1022</v>
      </c>
      <c r="W1110" t="s">
        <v>1167</v>
      </c>
      <c r="X1110" t="s">
        <v>824</v>
      </c>
      <c r="Y1110" t="s">
        <v>1023</v>
      </c>
      <c r="Z1110" t="s">
        <v>47</v>
      </c>
      <c r="AA1110"/>
      <c r="AB1110"/>
      <c r="AC1110"/>
      <c r="AD1110"/>
    </row>
    <row r="1111" spans="1:30">
      <c r="A1111">
        <v>3110090056</v>
      </c>
      <c r="B1111" t="s">
        <v>30</v>
      </c>
      <c r="C1111" t="s">
        <v>61</v>
      </c>
      <c r="D1111" t="s">
        <v>133</v>
      </c>
      <c r="E1111" t="s">
        <v>79</v>
      </c>
      <c r="F1111" t="s">
        <v>401</v>
      </c>
      <c r="G1111" t="s">
        <v>479</v>
      </c>
      <c r="H1111" t="s">
        <v>50</v>
      </c>
      <c r="I1111" t="s">
        <v>382</v>
      </c>
      <c r="J1111" t="s">
        <v>315</v>
      </c>
      <c r="K1111" t="str">
        <f>"na"</f>
        <v>0</v>
      </c>
      <c r="L1111">
        <v>36750</v>
      </c>
      <c r="M1111"/>
      <c r="N1111" t="s">
        <v>38</v>
      </c>
      <c r="O1111" t="s">
        <v>38</v>
      </c>
      <c r="P1111" t="s">
        <v>53</v>
      </c>
      <c r="Q1111" t="s">
        <v>38</v>
      </c>
      <c r="R1111" t="s">
        <v>38</v>
      </c>
      <c r="S1111" t="s">
        <v>42</v>
      </c>
      <c r="T1111" t="s">
        <v>42</v>
      </c>
      <c r="U1111" t="s">
        <v>1167</v>
      </c>
      <c r="V1111" t="s">
        <v>1022</v>
      </c>
      <c r="W1111" t="s">
        <v>1167</v>
      </c>
      <c r="X1111" t="s">
        <v>824</v>
      </c>
      <c r="Y1111" t="s">
        <v>1023</v>
      </c>
      <c r="Z1111" t="s">
        <v>47</v>
      </c>
      <c r="AA1111"/>
      <c r="AB1111"/>
      <c r="AC1111"/>
      <c r="AD1111"/>
    </row>
    <row r="1112" spans="1:30">
      <c r="A1112">
        <v>3110090086</v>
      </c>
      <c r="B1112" t="s">
        <v>30</v>
      </c>
      <c r="C1112" t="s">
        <v>61</v>
      </c>
      <c r="D1112" t="s">
        <v>133</v>
      </c>
      <c r="E1112" t="s">
        <v>72</v>
      </c>
      <c r="F1112" t="s">
        <v>401</v>
      </c>
      <c r="G1112" t="s">
        <v>479</v>
      </c>
      <c r="H1112" t="s">
        <v>50</v>
      </c>
      <c r="I1112" t="s">
        <v>382</v>
      </c>
      <c r="J1112" t="s">
        <v>480</v>
      </c>
      <c r="K1112" t="str">
        <f>"na"</f>
        <v>0</v>
      </c>
      <c r="L1112">
        <v>36750</v>
      </c>
      <c r="M1112"/>
      <c r="N1112" t="s">
        <v>38</v>
      </c>
      <c r="O1112" t="s">
        <v>38</v>
      </c>
      <c r="P1112" t="s">
        <v>53</v>
      </c>
      <c r="Q1112" t="s">
        <v>38</v>
      </c>
      <c r="R1112" t="s">
        <v>38</v>
      </c>
      <c r="S1112" t="s">
        <v>42</v>
      </c>
      <c r="T1112" t="s">
        <v>42</v>
      </c>
      <c r="U1112" t="s">
        <v>1167</v>
      </c>
      <c r="V1112" t="s">
        <v>1022</v>
      </c>
      <c r="W1112" t="s">
        <v>1167</v>
      </c>
      <c r="X1112" t="s">
        <v>824</v>
      </c>
      <c r="Y1112" t="s">
        <v>1023</v>
      </c>
      <c r="Z1112" t="s">
        <v>47</v>
      </c>
      <c r="AA1112"/>
      <c r="AB1112"/>
      <c r="AC1112"/>
      <c r="AD1112"/>
    </row>
    <row r="1113" spans="1:30">
      <c r="A1113">
        <v>3110110066</v>
      </c>
      <c r="B1113" t="s">
        <v>30</v>
      </c>
      <c r="C1113" t="s">
        <v>61</v>
      </c>
      <c r="D1113" t="s">
        <v>62</v>
      </c>
      <c r="E1113" t="s">
        <v>79</v>
      </c>
      <c r="F1113" t="s">
        <v>401</v>
      </c>
      <c r="G1113" t="s">
        <v>479</v>
      </c>
      <c r="H1113" t="s">
        <v>50</v>
      </c>
      <c r="I1113" t="s">
        <v>100</v>
      </c>
      <c r="J1113" t="s">
        <v>59</v>
      </c>
      <c r="K1113" t="str">
        <f>"na"</f>
        <v>0</v>
      </c>
      <c r="L1113">
        <v>25000</v>
      </c>
      <c r="M1113"/>
      <c r="N1113" t="s">
        <v>38</v>
      </c>
      <c r="O1113" t="s">
        <v>38</v>
      </c>
      <c r="P1113" t="s">
        <v>53</v>
      </c>
      <c r="Q1113" t="s">
        <v>38</v>
      </c>
      <c r="R1113" t="s">
        <v>38</v>
      </c>
      <c r="S1113" t="s">
        <v>42</v>
      </c>
      <c r="T1113" t="s">
        <v>42</v>
      </c>
      <c r="U1113" t="s">
        <v>1167</v>
      </c>
      <c r="V1113" t="s">
        <v>636</v>
      </c>
      <c r="W1113" t="s">
        <v>1167</v>
      </c>
      <c r="X1113" t="s">
        <v>824</v>
      </c>
      <c r="Y1113" t="s">
        <v>1053</v>
      </c>
      <c r="Z1113" t="s">
        <v>47</v>
      </c>
      <c r="AA1113"/>
      <c r="AB1113"/>
      <c r="AC1113"/>
      <c r="AD1113" t="s">
        <v>638</v>
      </c>
    </row>
    <row r="1114" spans="1:30">
      <c r="A1114">
        <v>4110050005</v>
      </c>
      <c r="B1114" t="s">
        <v>30</v>
      </c>
      <c r="C1114" t="s">
        <v>88</v>
      </c>
      <c r="D1114" t="s">
        <v>165</v>
      </c>
      <c r="E1114" t="s">
        <v>55</v>
      </c>
      <c r="F1114" t="s">
        <v>401</v>
      </c>
      <c r="G1114" t="s">
        <v>479</v>
      </c>
      <c r="H1114" t="s">
        <v>50</v>
      </c>
      <c r="I1114" t="s">
        <v>447</v>
      </c>
      <c r="J1114" t="s">
        <v>1173</v>
      </c>
      <c r="K1114" t="str">
        <f>"n/A"</f>
        <v>0</v>
      </c>
      <c r="L1114">
        <v>25000</v>
      </c>
      <c r="M1114"/>
      <c r="N1114" t="s">
        <v>38</v>
      </c>
      <c r="O1114" t="s">
        <v>38</v>
      </c>
      <c r="P1114" t="s">
        <v>53</v>
      </c>
      <c r="Q1114" t="s">
        <v>38</v>
      </c>
      <c r="R1114" t="s">
        <v>38</v>
      </c>
      <c r="S1114" t="s">
        <v>42</v>
      </c>
      <c r="T1114" t="s">
        <v>42</v>
      </c>
      <c r="U1114" t="s">
        <v>1167</v>
      </c>
      <c r="V1114" t="s">
        <v>1068</v>
      </c>
      <c r="W1114" t="s">
        <v>1167</v>
      </c>
      <c r="X1114" t="s">
        <v>824</v>
      </c>
      <c r="Y1114" t="s">
        <v>1066</v>
      </c>
      <c r="Z1114" t="s">
        <v>47</v>
      </c>
      <c r="AA1114"/>
      <c r="AB1114"/>
      <c r="AC1114"/>
      <c r="AD1114" t="s">
        <v>638</v>
      </c>
    </row>
    <row r="1115" spans="1:30">
      <c r="A1115">
        <v>4110050006</v>
      </c>
      <c r="B1115" t="s">
        <v>30</v>
      </c>
      <c r="C1115" t="s">
        <v>88</v>
      </c>
      <c r="D1115" t="s">
        <v>165</v>
      </c>
      <c r="E1115" t="s">
        <v>55</v>
      </c>
      <c r="F1115" t="s">
        <v>401</v>
      </c>
      <c r="G1115" t="s">
        <v>479</v>
      </c>
      <c r="H1115" t="s">
        <v>50</v>
      </c>
      <c r="I1115" t="s">
        <v>375</v>
      </c>
      <c r="J1115" t="s">
        <v>315</v>
      </c>
      <c r="K1115" t="str">
        <f>"n/a"</f>
        <v>0</v>
      </c>
      <c r="L1115">
        <v>25000</v>
      </c>
      <c r="M1115"/>
      <c r="N1115" t="s">
        <v>38</v>
      </c>
      <c r="O1115" t="s">
        <v>38</v>
      </c>
      <c r="P1115" t="s">
        <v>53</v>
      </c>
      <c r="Q1115" t="s">
        <v>38</v>
      </c>
      <c r="R1115" t="s">
        <v>38</v>
      </c>
      <c r="S1115" t="s">
        <v>42</v>
      </c>
      <c r="T1115" t="s">
        <v>42</v>
      </c>
      <c r="U1115" t="s">
        <v>1167</v>
      </c>
      <c r="V1115" t="s">
        <v>1068</v>
      </c>
      <c r="W1115" t="s">
        <v>1167</v>
      </c>
      <c r="X1115" t="s">
        <v>824</v>
      </c>
      <c r="Y1115" t="s">
        <v>1066</v>
      </c>
      <c r="Z1115" t="s">
        <v>47</v>
      </c>
      <c r="AA1115"/>
      <c r="AB1115"/>
      <c r="AC1115"/>
      <c r="AD1115" t="s">
        <v>638</v>
      </c>
    </row>
    <row r="1116" spans="1:30">
      <c r="A1116">
        <v>3110110075</v>
      </c>
      <c r="B1116" t="s">
        <v>30</v>
      </c>
      <c r="C1116" t="s">
        <v>61</v>
      </c>
      <c r="D1116" t="s">
        <v>62</v>
      </c>
      <c r="E1116" t="s">
        <v>55</v>
      </c>
      <c r="F1116" t="s">
        <v>401</v>
      </c>
      <c r="G1116" t="s">
        <v>479</v>
      </c>
      <c r="H1116" t="s">
        <v>50</v>
      </c>
      <c r="I1116" t="s">
        <v>382</v>
      </c>
      <c r="J1116" t="s">
        <v>1171</v>
      </c>
      <c r="K1116" t="str">
        <f>"na"</f>
        <v>0</v>
      </c>
      <c r="L1116">
        <v>36750</v>
      </c>
      <c r="M1116"/>
      <c r="N1116" t="s">
        <v>38</v>
      </c>
      <c r="O1116" t="s">
        <v>38</v>
      </c>
      <c r="P1116" t="s">
        <v>53</v>
      </c>
      <c r="Q1116" t="s">
        <v>38</v>
      </c>
      <c r="R1116" t="s">
        <v>38</v>
      </c>
      <c r="S1116" t="s">
        <v>42</v>
      </c>
      <c r="T1116" t="s">
        <v>42</v>
      </c>
      <c r="U1116" t="s">
        <v>1167</v>
      </c>
      <c r="V1116" t="s">
        <v>636</v>
      </c>
      <c r="W1116" t="s">
        <v>1167</v>
      </c>
      <c r="X1116" t="s">
        <v>824</v>
      </c>
      <c r="Y1116" t="s">
        <v>1066</v>
      </c>
      <c r="Z1116" t="s">
        <v>47</v>
      </c>
      <c r="AA1116"/>
      <c r="AB1116"/>
      <c r="AC1116"/>
      <c r="AD1116" t="s">
        <v>638</v>
      </c>
    </row>
    <row r="1117" spans="1:30">
      <c r="A1117">
        <v>3110110076</v>
      </c>
      <c r="B1117" t="s">
        <v>30</v>
      </c>
      <c r="C1117" t="s">
        <v>61</v>
      </c>
      <c r="D1117" t="s">
        <v>62</v>
      </c>
      <c r="E1117" t="s">
        <v>55</v>
      </c>
      <c r="F1117" t="s">
        <v>401</v>
      </c>
      <c r="G1117" t="s">
        <v>479</v>
      </c>
      <c r="H1117" t="s">
        <v>50</v>
      </c>
      <c r="I1117" t="s">
        <v>100</v>
      </c>
      <c r="J1117" t="s">
        <v>59</v>
      </c>
      <c r="K1117" t="str">
        <f>"na"</f>
        <v>0</v>
      </c>
      <c r="L1117">
        <v>25000</v>
      </c>
      <c r="M1117"/>
      <c r="N1117" t="s">
        <v>38</v>
      </c>
      <c r="O1117" t="s">
        <v>38</v>
      </c>
      <c r="P1117" t="s">
        <v>53</v>
      </c>
      <c r="Q1117" t="s">
        <v>38</v>
      </c>
      <c r="R1117" t="s">
        <v>38</v>
      </c>
      <c r="S1117" t="s">
        <v>42</v>
      </c>
      <c r="T1117" t="s">
        <v>42</v>
      </c>
      <c r="U1117" t="s">
        <v>1167</v>
      </c>
      <c r="V1117" t="s">
        <v>636</v>
      </c>
      <c r="W1117" t="s">
        <v>1167</v>
      </c>
      <c r="X1117" t="s">
        <v>824</v>
      </c>
      <c r="Y1117" t="s">
        <v>1066</v>
      </c>
      <c r="Z1117" t="s">
        <v>47</v>
      </c>
      <c r="AA1117"/>
      <c r="AB1117"/>
      <c r="AC1117"/>
      <c r="AD1117" t="s">
        <v>638</v>
      </c>
    </row>
    <row r="1118" spans="1:30">
      <c r="A1118">
        <v>4110030012</v>
      </c>
      <c r="B1118" t="s">
        <v>30</v>
      </c>
      <c r="C1118" t="s">
        <v>88</v>
      </c>
      <c r="D1118" t="s">
        <v>89</v>
      </c>
      <c r="E1118" t="s">
        <v>1174</v>
      </c>
      <c r="F1118" t="s">
        <v>401</v>
      </c>
      <c r="G1118" t="s">
        <v>479</v>
      </c>
      <c r="H1118" t="s">
        <v>50</v>
      </c>
      <c r="I1118" t="s">
        <v>375</v>
      </c>
      <c r="J1118" t="s">
        <v>480</v>
      </c>
      <c r="K1118" t="str">
        <f>"n/a"</f>
        <v>0</v>
      </c>
      <c r="L1118">
        <v>25000</v>
      </c>
      <c r="M1118"/>
      <c r="N1118" t="s">
        <v>38</v>
      </c>
      <c r="O1118" t="s">
        <v>38</v>
      </c>
      <c r="P1118" t="s">
        <v>53</v>
      </c>
      <c r="Q1118" t="s">
        <v>38</v>
      </c>
      <c r="R1118" t="s">
        <v>38</v>
      </c>
      <c r="S1118" t="s">
        <v>42</v>
      </c>
      <c r="T1118" t="s">
        <v>42</v>
      </c>
      <c r="U1118" t="s">
        <v>1167</v>
      </c>
      <c r="V1118" t="s">
        <v>1068</v>
      </c>
      <c r="W1118" t="s">
        <v>1167</v>
      </c>
      <c r="X1118" t="s">
        <v>824</v>
      </c>
      <c r="Y1118" t="s">
        <v>1089</v>
      </c>
      <c r="Z1118" t="s">
        <v>47</v>
      </c>
      <c r="AA1118"/>
      <c r="AB1118"/>
      <c r="AC1118"/>
      <c r="AD1118" t="s">
        <v>638</v>
      </c>
    </row>
    <row r="1119" spans="1:30">
      <c r="A1119">
        <v>4110030021</v>
      </c>
      <c r="B1119" t="s">
        <v>30</v>
      </c>
      <c r="C1119" t="s">
        <v>88</v>
      </c>
      <c r="D1119" t="s">
        <v>89</v>
      </c>
      <c r="E1119" t="s">
        <v>79</v>
      </c>
      <c r="F1119" t="s">
        <v>401</v>
      </c>
      <c r="G1119" t="s">
        <v>479</v>
      </c>
      <c r="H1119" t="s">
        <v>50</v>
      </c>
      <c r="I1119" t="s">
        <v>382</v>
      </c>
      <c r="J1119"/>
      <c r="K1119" t="str">
        <f>"n/a"</f>
        <v>0</v>
      </c>
      <c r="L1119">
        <v>36750</v>
      </c>
      <c r="M1119"/>
      <c r="N1119" t="s">
        <v>38</v>
      </c>
      <c r="O1119" t="s">
        <v>38</v>
      </c>
      <c r="P1119" t="s">
        <v>53</v>
      </c>
      <c r="Q1119" t="s">
        <v>38</v>
      </c>
      <c r="R1119" t="s">
        <v>38</v>
      </c>
      <c r="S1119" t="s">
        <v>42</v>
      </c>
      <c r="T1119" t="s">
        <v>42</v>
      </c>
      <c r="U1119" t="s">
        <v>1167</v>
      </c>
      <c r="V1119" t="s">
        <v>1068</v>
      </c>
      <c r="W1119" t="s">
        <v>1167</v>
      </c>
      <c r="X1119" t="s">
        <v>824</v>
      </c>
      <c r="Y1119" t="s">
        <v>1089</v>
      </c>
      <c r="Z1119" t="s">
        <v>47</v>
      </c>
      <c r="AA1119"/>
      <c r="AB1119"/>
      <c r="AC1119"/>
      <c r="AD1119" t="s">
        <v>638</v>
      </c>
    </row>
    <row r="1120" spans="1:30">
      <c r="A1120">
        <v>4110020018</v>
      </c>
      <c r="B1120" t="s">
        <v>30</v>
      </c>
      <c r="C1120" t="s">
        <v>88</v>
      </c>
      <c r="D1120" t="s">
        <v>111</v>
      </c>
      <c r="E1120" t="s">
        <v>79</v>
      </c>
      <c r="F1120" t="s">
        <v>401</v>
      </c>
      <c r="G1120" t="s">
        <v>479</v>
      </c>
      <c r="H1120" t="s">
        <v>50</v>
      </c>
      <c r="I1120" t="s">
        <v>382</v>
      </c>
      <c r="J1120" t="s">
        <v>949</v>
      </c>
      <c r="K1120" t="str">
        <f>"n/a"</f>
        <v>0</v>
      </c>
      <c r="L1120">
        <v>36750</v>
      </c>
      <c r="M1120"/>
      <c r="N1120" t="s">
        <v>38</v>
      </c>
      <c r="O1120" t="s">
        <v>38</v>
      </c>
      <c r="P1120" t="s">
        <v>53</v>
      </c>
      <c r="Q1120" t="s">
        <v>38</v>
      </c>
      <c r="R1120" t="s">
        <v>38</v>
      </c>
      <c r="S1120" t="s">
        <v>42</v>
      </c>
      <c r="T1120" t="s">
        <v>42</v>
      </c>
      <c r="U1120" t="s">
        <v>1167</v>
      </c>
      <c r="V1120" t="s">
        <v>1068</v>
      </c>
      <c r="W1120" t="s">
        <v>1167</v>
      </c>
      <c r="X1120" t="s">
        <v>824</v>
      </c>
      <c r="Y1120" t="s">
        <v>1107</v>
      </c>
      <c r="Z1120" t="s">
        <v>47</v>
      </c>
      <c r="AA1120"/>
      <c r="AB1120"/>
      <c r="AC1120"/>
      <c r="AD1120" t="s">
        <v>638</v>
      </c>
    </row>
    <row r="1121" spans="1:30">
      <c r="A1121">
        <v>4110010029</v>
      </c>
      <c r="B1121" t="s">
        <v>30</v>
      </c>
      <c r="C1121" t="s">
        <v>88</v>
      </c>
      <c r="D1121" t="s">
        <v>244</v>
      </c>
      <c r="E1121" t="s">
        <v>55</v>
      </c>
      <c r="F1121" t="s">
        <v>401</v>
      </c>
      <c r="G1121" t="s">
        <v>479</v>
      </c>
      <c r="H1121" t="s">
        <v>50</v>
      </c>
      <c r="I1121" t="s">
        <v>447</v>
      </c>
      <c r="J1121" t="s">
        <v>1175</v>
      </c>
      <c r="K1121" t="str">
        <f>"na"</f>
        <v>0</v>
      </c>
      <c r="L1121">
        <v>25000</v>
      </c>
      <c r="M1121"/>
      <c r="N1121" t="s">
        <v>38</v>
      </c>
      <c r="O1121" t="s">
        <v>38</v>
      </c>
      <c r="P1121" t="s">
        <v>53</v>
      </c>
      <c r="Q1121" t="s">
        <v>38</v>
      </c>
      <c r="R1121" t="s">
        <v>38</v>
      </c>
      <c r="S1121" t="s">
        <v>42</v>
      </c>
      <c r="T1121" t="s">
        <v>42</v>
      </c>
      <c r="U1121" t="s">
        <v>1167</v>
      </c>
      <c r="V1121" t="s">
        <v>1110</v>
      </c>
      <c r="W1121" t="s">
        <v>1167</v>
      </c>
      <c r="X1121" t="s">
        <v>824</v>
      </c>
      <c r="Y1121" t="s">
        <v>1107</v>
      </c>
      <c r="Z1121" t="s">
        <v>47</v>
      </c>
      <c r="AA1121"/>
      <c r="AB1121"/>
      <c r="AC1121"/>
      <c r="AD1121"/>
    </row>
    <row r="1122" spans="1:30">
      <c r="A1122">
        <v>4110010041</v>
      </c>
      <c r="B1122" t="s">
        <v>30</v>
      </c>
      <c r="C1122" t="s">
        <v>88</v>
      </c>
      <c r="D1122" t="s">
        <v>244</v>
      </c>
      <c r="E1122" t="s">
        <v>55</v>
      </c>
      <c r="F1122" t="s">
        <v>401</v>
      </c>
      <c r="G1122" t="s">
        <v>479</v>
      </c>
      <c r="H1122" t="s">
        <v>50</v>
      </c>
      <c r="I1122" t="s">
        <v>382</v>
      </c>
      <c r="J1122" t="s">
        <v>495</v>
      </c>
      <c r="K1122" t="str">
        <f>"na"</f>
        <v>0</v>
      </c>
      <c r="L1122">
        <v>36750</v>
      </c>
      <c r="M1122"/>
      <c r="N1122" t="s">
        <v>38</v>
      </c>
      <c r="O1122" t="s">
        <v>38</v>
      </c>
      <c r="P1122" t="s">
        <v>53</v>
      </c>
      <c r="Q1122" t="s">
        <v>38</v>
      </c>
      <c r="R1122" t="s">
        <v>38</v>
      </c>
      <c r="S1122" t="s">
        <v>42</v>
      </c>
      <c r="T1122" t="s">
        <v>42</v>
      </c>
      <c r="U1122" t="s">
        <v>1167</v>
      </c>
      <c r="V1122" t="s">
        <v>1110</v>
      </c>
      <c r="W1122" t="s">
        <v>1167</v>
      </c>
      <c r="X1122" t="s">
        <v>824</v>
      </c>
      <c r="Y1122" t="s">
        <v>1107</v>
      </c>
      <c r="Z1122" t="s">
        <v>47</v>
      </c>
      <c r="AA1122"/>
      <c r="AB1122"/>
      <c r="AC1122"/>
      <c r="AD1122"/>
    </row>
    <row r="1123" spans="1:30">
      <c r="A1123">
        <v>5110070017</v>
      </c>
      <c r="B1123" t="s">
        <v>30</v>
      </c>
      <c r="C1123" t="s">
        <v>230</v>
      </c>
      <c r="D1123" t="s">
        <v>231</v>
      </c>
      <c r="E1123" t="s">
        <v>79</v>
      </c>
      <c r="F1123" t="s">
        <v>401</v>
      </c>
      <c r="G1123" t="s">
        <v>479</v>
      </c>
      <c r="H1123" t="s">
        <v>50</v>
      </c>
      <c r="I1123" t="s">
        <v>404</v>
      </c>
      <c r="J1123" t="s">
        <v>1176</v>
      </c>
      <c r="K1123" t="str">
        <f>"11-pd-10-19"</f>
        <v>0</v>
      </c>
      <c r="L1123">
        <v>25000</v>
      </c>
      <c r="M1123"/>
      <c r="N1123" t="s">
        <v>38</v>
      </c>
      <c r="O1123" t="s">
        <v>38</v>
      </c>
      <c r="P1123" t="s">
        <v>53</v>
      </c>
      <c r="Q1123" t="s">
        <v>38</v>
      </c>
      <c r="R1123" t="s">
        <v>38</v>
      </c>
      <c r="S1123" t="s">
        <v>42</v>
      </c>
      <c r="T1123" t="s">
        <v>42</v>
      </c>
      <c r="U1123" t="s">
        <v>1152</v>
      </c>
      <c r="V1123" t="s">
        <v>1110</v>
      </c>
      <c r="W1123" t="s">
        <v>1152</v>
      </c>
      <c r="X1123" t="s">
        <v>824</v>
      </c>
      <c r="Y1123" t="s">
        <v>1129</v>
      </c>
      <c r="Z1123" t="s">
        <v>47</v>
      </c>
      <c r="AA1123"/>
      <c r="AB1123"/>
      <c r="AC1123"/>
      <c r="AD1123"/>
    </row>
    <row r="1124" spans="1:30">
      <c r="A1124">
        <v>3110100064</v>
      </c>
      <c r="B1124" t="s">
        <v>30</v>
      </c>
      <c r="C1124" t="s">
        <v>61</v>
      </c>
      <c r="D1124" t="s">
        <v>71</v>
      </c>
      <c r="E1124" t="s">
        <v>118</v>
      </c>
      <c r="F1124" t="s">
        <v>118</v>
      </c>
      <c r="G1124" t="s">
        <v>633</v>
      </c>
      <c r="H1124" t="s">
        <v>35</v>
      </c>
      <c r="I1124" t="s">
        <v>1177</v>
      </c>
      <c r="J1124" t="s">
        <v>1025</v>
      </c>
      <c r="K1124" t="str">
        <f>"Na"</f>
        <v>0</v>
      </c>
      <c r="L1124">
        <v>1414400</v>
      </c>
      <c r="M1124"/>
      <c r="N1124" t="s">
        <v>38</v>
      </c>
      <c r="O1124" t="s">
        <v>38</v>
      </c>
      <c r="P1124" t="s">
        <v>53</v>
      </c>
      <c r="Q1124" t="s">
        <v>38</v>
      </c>
      <c r="R1124" t="s">
        <v>38</v>
      </c>
      <c r="S1124" t="s">
        <v>266</v>
      </c>
      <c r="T1124" t="s">
        <v>266</v>
      </c>
      <c r="U1124" t="s">
        <v>1152</v>
      </c>
      <c r="V1124" t="s">
        <v>636</v>
      </c>
      <c r="W1124" t="s">
        <v>1152</v>
      </c>
      <c r="X1124" t="s">
        <v>824</v>
      </c>
      <c r="Y1124" t="s">
        <v>926</v>
      </c>
      <c r="Z1124" t="s">
        <v>70</v>
      </c>
      <c r="AA1124"/>
      <c r="AB1124"/>
      <c r="AC1124"/>
      <c r="AD1124" t="s">
        <v>710</v>
      </c>
    </row>
    <row r="1125" spans="1:30">
      <c r="A1125">
        <v>4110020030</v>
      </c>
      <c r="B1125" t="s">
        <v>30</v>
      </c>
      <c r="C1125" t="s">
        <v>88</v>
      </c>
      <c r="D1125" t="s">
        <v>111</v>
      </c>
      <c r="E1125" t="s">
        <v>112</v>
      </c>
      <c r="F1125" t="s">
        <v>94</v>
      </c>
      <c r="G1125" t="s">
        <v>95</v>
      </c>
      <c r="H1125" t="s">
        <v>35</v>
      </c>
      <c r="I1125" t="s">
        <v>82</v>
      </c>
      <c r="J1125" t="s">
        <v>1178</v>
      </c>
      <c r="K1125" t="str">
        <f>"14561"</f>
        <v>0</v>
      </c>
      <c r="L1125">
        <v>69636</v>
      </c>
      <c r="M1125"/>
      <c r="N1125" t="s">
        <v>38</v>
      </c>
      <c r="O1125" t="s">
        <v>38</v>
      </c>
      <c r="P1125" t="s">
        <v>53</v>
      </c>
      <c r="Q1125" t="s">
        <v>38</v>
      </c>
      <c r="R1125" t="s">
        <v>38</v>
      </c>
      <c r="S1125" t="s">
        <v>42</v>
      </c>
      <c r="T1125" t="s">
        <v>42</v>
      </c>
      <c r="U1125" t="s">
        <v>1152</v>
      </c>
      <c r="V1125" t="s">
        <v>1068</v>
      </c>
      <c r="W1125" t="s">
        <v>1152</v>
      </c>
      <c r="X1125" t="s">
        <v>824</v>
      </c>
      <c r="Y1125" t="s">
        <v>1130</v>
      </c>
      <c r="Z1125" t="s">
        <v>47</v>
      </c>
      <c r="AA1125"/>
      <c r="AB1125"/>
      <c r="AC1125"/>
      <c r="AD1125" t="s">
        <v>638</v>
      </c>
    </row>
    <row r="1126" spans="1:30">
      <c r="A1126">
        <v>4110020031</v>
      </c>
      <c r="B1126" t="s">
        <v>30</v>
      </c>
      <c r="C1126" t="s">
        <v>88</v>
      </c>
      <c r="D1126" t="s">
        <v>111</v>
      </c>
      <c r="E1126" t="s">
        <v>112</v>
      </c>
      <c r="F1126" t="s">
        <v>94</v>
      </c>
      <c r="G1126" t="s">
        <v>95</v>
      </c>
      <c r="H1126" t="s">
        <v>35</v>
      </c>
      <c r="I1126" t="s">
        <v>82</v>
      </c>
      <c r="J1126" t="s">
        <v>1178</v>
      </c>
      <c r="K1126" t="str">
        <f>"14562"</f>
        <v>0</v>
      </c>
      <c r="L1126">
        <v>69636</v>
      </c>
      <c r="M1126"/>
      <c r="N1126" t="s">
        <v>38</v>
      </c>
      <c r="O1126" t="s">
        <v>38</v>
      </c>
      <c r="P1126" t="s">
        <v>53</v>
      </c>
      <c r="Q1126" t="s">
        <v>38</v>
      </c>
      <c r="R1126" t="s">
        <v>38</v>
      </c>
      <c r="S1126" t="s">
        <v>42</v>
      </c>
      <c r="T1126" t="s">
        <v>42</v>
      </c>
      <c r="U1126" t="s">
        <v>1152</v>
      </c>
      <c r="V1126" t="s">
        <v>1068</v>
      </c>
      <c r="W1126" t="s">
        <v>1152</v>
      </c>
      <c r="X1126" t="s">
        <v>824</v>
      </c>
      <c r="Y1126" t="s">
        <v>1130</v>
      </c>
      <c r="Z1126" t="s">
        <v>47</v>
      </c>
      <c r="AA1126"/>
      <c r="AB1126"/>
      <c r="AC1126"/>
      <c r="AD1126" t="s">
        <v>638</v>
      </c>
    </row>
    <row r="1127" spans="1:30">
      <c r="A1127">
        <v>5110080001</v>
      </c>
      <c r="B1127" t="s">
        <v>30</v>
      </c>
      <c r="C1127" t="s">
        <v>230</v>
      </c>
      <c r="D1127" t="s">
        <v>500</v>
      </c>
      <c r="E1127" t="s">
        <v>152</v>
      </c>
      <c r="F1127" t="s">
        <v>56</v>
      </c>
      <c r="G1127" t="s">
        <v>178</v>
      </c>
      <c r="H1127" t="s">
        <v>50</v>
      </c>
      <c r="I1127" t="s">
        <v>179</v>
      </c>
      <c r="J1127" t="s">
        <v>1179</v>
      </c>
      <c r="K1127" t="str">
        <f>"na"</f>
        <v>0</v>
      </c>
      <c r="L1127">
        <v>126000</v>
      </c>
      <c r="M1127"/>
      <c r="N1127" t="s">
        <v>38</v>
      </c>
      <c r="O1127" t="s">
        <v>38</v>
      </c>
      <c r="P1127" t="s">
        <v>53</v>
      </c>
      <c r="Q1127" t="s">
        <v>38</v>
      </c>
      <c r="R1127" t="s">
        <v>38</v>
      </c>
      <c r="S1127" t="s">
        <v>42</v>
      </c>
      <c r="T1127" t="s">
        <v>42</v>
      </c>
      <c r="U1127" t="s">
        <v>1152</v>
      </c>
      <c r="V1127" t="s">
        <v>1110</v>
      </c>
      <c r="W1127" t="s">
        <v>1152</v>
      </c>
      <c r="X1127" t="s">
        <v>824</v>
      </c>
      <c r="Y1127" t="s">
        <v>1129</v>
      </c>
      <c r="Z1127" t="s">
        <v>47</v>
      </c>
      <c r="AA1127"/>
      <c r="AB1127"/>
      <c r="AC1127"/>
      <c r="AD1127"/>
    </row>
    <row r="1128" spans="1:30">
      <c r="A1128">
        <v>5110070012</v>
      </c>
      <c r="B1128" t="s">
        <v>30</v>
      </c>
      <c r="C1128" t="s">
        <v>230</v>
      </c>
      <c r="D1128" t="s">
        <v>231</v>
      </c>
      <c r="E1128" t="s">
        <v>152</v>
      </c>
      <c r="F1128" t="s">
        <v>56</v>
      </c>
      <c r="G1128" t="s">
        <v>178</v>
      </c>
      <c r="H1128" t="s">
        <v>50</v>
      </c>
      <c r="I1128" t="s">
        <v>179</v>
      </c>
      <c r="J1128" t="s">
        <v>1179</v>
      </c>
      <c r="K1128" t="str">
        <f>"na"</f>
        <v>0</v>
      </c>
      <c r="L1128">
        <v>126000</v>
      </c>
      <c r="M1128"/>
      <c r="N1128" t="s">
        <v>38</v>
      </c>
      <c r="O1128" t="s">
        <v>38</v>
      </c>
      <c r="P1128" t="s">
        <v>53</v>
      </c>
      <c r="Q1128" t="s">
        <v>38</v>
      </c>
      <c r="R1128" t="s">
        <v>38</v>
      </c>
      <c r="S1128" t="s">
        <v>42</v>
      </c>
      <c r="T1128" t="s">
        <v>42</v>
      </c>
      <c r="U1128" t="s">
        <v>1152</v>
      </c>
      <c r="V1128" t="s">
        <v>1110</v>
      </c>
      <c r="W1128" t="s">
        <v>1152</v>
      </c>
      <c r="X1128" t="s">
        <v>824</v>
      </c>
      <c r="Y1128" t="s">
        <v>1129</v>
      </c>
      <c r="Z1128" t="s">
        <v>47</v>
      </c>
      <c r="AA1128"/>
      <c r="AB1128"/>
      <c r="AC1128"/>
      <c r="AD1128"/>
    </row>
    <row r="1129" spans="1:30">
      <c r="A1129">
        <v>5110070020</v>
      </c>
      <c r="B1129" t="s">
        <v>30</v>
      </c>
      <c r="C1129" t="s">
        <v>230</v>
      </c>
      <c r="D1129" t="s">
        <v>231</v>
      </c>
      <c r="E1129" t="s">
        <v>79</v>
      </c>
      <c r="F1129" t="s">
        <v>94</v>
      </c>
      <c r="G1129" t="s">
        <v>95</v>
      </c>
      <c r="H1129" t="s">
        <v>35</v>
      </c>
      <c r="I1129" t="s">
        <v>82</v>
      </c>
      <c r="J1129" t="s">
        <v>1180</v>
      </c>
      <c r="K1129" t="str">
        <f>"14566"</f>
        <v>0</v>
      </c>
      <c r="L1129">
        <v>69636</v>
      </c>
      <c r="M1129"/>
      <c r="N1129" t="s">
        <v>38</v>
      </c>
      <c r="O1129" t="s">
        <v>38</v>
      </c>
      <c r="P1129" t="s">
        <v>53</v>
      </c>
      <c r="Q1129" t="s">
        <v>38</v>
      </c>
      <c r="R1129" t="s">
        <v>38</v>
      </c>
      <c r="S1129" t="s">
        <v>42</v>
      </c>
      <c r="T1129" t="s">
        <v>42</v>
      </c>
      <c r="U1129" t="s">
        <v>1129</v>
      </c>
      <c r="V1129" t="s">
        <v>1110</v>
      </c>
      <c r="W1129" t="s">
        <v>1129</v>
      </c>
      <c r="X1129" t="s">
        <v>824</v>
      </c>
      <c r="Y1129" t="s">
        <v>1129</v>
      </c>
      <c r="Z1129" t="s">
        <v>47</v>
      </c>
      <c r="AA1129"/>
      <c r="AB1129"/>
      <c r="AC1129"/>
      <c r="AD1129"/>
    </row>
    <row r="1130" spans="1:30">
      <c r="A1130">
        <v>5110070021</v>
      </c>
      <c r="B1130" t="s">
        <v>30</v>
      </c>
      <c r="C1130" t="s">
        <v>230</v>
      </c>
      <c r="D1130" t="s">
        <v>231</v>
      </c>
      <c r="E1130" t="s">
        <v>79</v>
      </c>
      <c r="F1130" t="s">
        <v>94</v>
      </c>
      <c r="G1130" t="s">
        <v>95</v>
      </c>
      <c r="H1130" t="s">
        <v>35</v>
      </c>
      <c r="I1130" t="s">
        <v>82</v>
      </c>
      <c r="J1130" t="s">
        <v>315</v>
      </c>
      <c r="K1130" t="str">
        <f>"tp 1082"</f>
        <v>0</v>
      </c>
      <c r="L1130">
        <v>69636</v>
      </c>
      <c r="M1130"/>
      <c r="N1130" t="s">
        <v>38</v>
      </c>
      <c r="O1130" t="s">
        <v>38</v>
      </c>
      <c r="P1130" t="s">
        <v>53</v>
      </c>
      <c r="Q1130" t="s">
        <v>38</v>
      </c>
      <c r="R1130" t="s">
        <v>38</v>
      </c>
      <c r="S1130" t="s">
        <v>42</v>
      </c>
      <c r="T1130" t="s">
        <v>42</v>
      </c>
      <c r="U1130" t="s">
        <v>1129</v>
      </c>
      <c r="V1130" t="s">
        <v>1110</v>
      </c>
      <c r="W1130" t="s">
        <v>1129</v>
      </c>
      <c r="X1130" t="s">
        <v>824</v>
      </c>
      <c r="Y1130" t="s">
        <v>1129</v>
      </c>
      <c r="Z1130" t="s">
        <v>47</v>
      </c>
      <c r="AA1130"/>
      <c r="AB1130"/>
      <c r="AC1130"/>
      <c r="AD1130"/>
    </row>
    <row r="1131" spans="1:30">
      <c r="A1131">
        <v>5110070022</v>
      </c>
      <c r="B1131" t="s">
        <v>30</v>
      </c>
      <c r="C1131" t="s">
        <v>230</v>
      </c>
      <c r="D1131" t="s">
        <v>231</v>
      </c>
      <c r="E1131" t="s">
        <v>79</v>
      </c>
      <c r="F1131" t="s">
        <v>108</v>
      </c>
      <c r="G1131" t="s">
        <v>109</v>
      </c>
      <c r="H1131" t="s">
        <v>50</v>
      </c>
      <c r="I1131" t="s">
        <v>1181</v>
      </c>
      <c r="J1131" t="s">
        <v>59</v>
      </c>
      <c r="K1131" t="str">
        <f>"na"</f>
        <v>0</v>
      </c>
      <c r="L1131">
        <v>10000</v>
      </c>
      <c r="M1131"/>
      <c r="N1131" t="s">
        <v>38</v>
      </c>
      <c r="O1131" t="s">
        <v>38</v>
      </c>
      <c r="P1131" t="s">
        <v>53</v>
      </c>
      <c r="Q1131" t="s">
        <v>38</v>
      </c>
      <c r="R1131" t="s">
        <v>38</v>
      </c>
      <c r="S1131" t="s">
        <v>42</v>
      </c>
      <c r="T1131" t="s">
        <v>42</v>
      </c>
      <c r="U1131" t="s">
        <v>1129</v>
      </c>
      <c r="V1131" t="s">
        <v>1110</v>
      </c>
      <c r="W1131" t="s">
        <v>1129</v>
      </c>
      <c r="X1131" t="s">
        <v>824</v>
      </c>
      <c r="Y1131" t="s">
        <v>1129</v>
      </c>
      <c r="Z1131" t="s">
        <v>47</v>
      </c>
      <c r="AA1131"/>
      <c r="AB1131"/>
      <c r="AC1131"/>
      <c r="AD1131"/>
    </row>
    <row r="1132" spans="1:30">
      <c r="A1132">
        <v>5110070023</v>
      </c>
      <c r="B1132" t="s">
        <v>30</v>
      </c>
      <c r="C1132" t="s">
        <v>230</v>
      </c>
      <c r="D1132" t="s">
        <v>231</v>
      </c>
      <c r="E1132" t="s">
        <v>79</v>
      </c>
      <c r="F1132" t="s">
        <v>108</v>
      </c>
      <c r="G1132" t="s">
        <v>109</v>
      </c>
      <c r="H1132" t="s">
        <v>50</v>
      </c>
      <c r="I1132" t="s">
        <v>1182</v>
      </c>
      <c r="J1132" t="s">
        <v>59</v>
      </c>
      <c r="K1132" t="str">
        <f>"na"</f>
        <v>0</v>
      </c>
      <c r="L1132">
        <v>10000</v>
      </c>
      <c r="M1132"/>
      <c r="N1132" t="s">
        <v>38</v>
      </c>
      <c r="O1132" t="s">
        <v>38</v>
      </c>
      <c r="P1132" t="s">
        <v>53</v>
      </c>
      <c r="Q1132" t="s">
        <v>38</v>
      </c>
      <c r="R1132" t="s">
        <v>38</v>
      </c>
      <c r="S1132" t="s">
        <v>42</v>
      </c>
      <c r="T1132" t="s">
        <v>42</v>
      </c>
      <c r="U1132" t="s">
        <v>1129</v>
      </c>
      <c r="V1132" t="s">
        <v>1110</v>
      </c>
      <c r="W1132" t="s">
        <v>1129</v>
      </c>
      <c r="X1132" t="s">
        <v>824</v>
      </c>
      <c r="Y1132" t="s">
        <v>1129</v>
      </c>
      <c r="Z1132" t="s">
        <v>47</v>
      </c>
      <c r="AA1132"/>
      <c r="AB1132"/>
      <c r="AC1132"/>
      <c r="AD1132"/>
    </row>
    <row r="1133" spans="1:30">
      <c r="A1133">
        <v>5110070024</v>
      </c>
      <c r="B1133" t="s">
        <v>30</v>
      </c>
      <c r="C1133" t="s">
        <v>230</v>
      </c>
      <c r="D1133" t="s">
        <v>231</v>
      </c>
      <c r="E1133" t="s">
        <v>72</v>
      </c>
      <c r="F1133" t="s">
        <v>401</v>
      </c>
      <c r="G1133" t="s">
        <v>1172</v>
      </c>
      <c r="H1133" t="s">
        <v>50</v>
      </c>
      <c r="I1133" t="s">
        <v>375</v>
      </c>
      <c r="J1133" t="s">
        <v>59</v>
      </c>
      <c r="K1133" t="str">
        <f>"na"</f>
        <v>0</v>
      </c>
      <c r="L1133">
        <v>500000</v>
      </c>
      <c r="M1133"/>
      <c r="N1133" t="s">
        <v>38</v>
      </c>
      <c r="O1133" t="s">
        <v>38</v>
      </c>
      <c r="P1133" t="s">
        <v>53</v>
      </c>
      <c r="Q1133" t="s">
        <v>38</v>
      </c>
      <c r="R1133" t="s">
        <v>38</v>
      </c>
      <c r="S1133" t="s">
        <v>42</v>
      </c>
      <c r="T1133" t="s">
        <v>42</v>
      </c>
      <c r="U1133" t="s">
        <v>1129</v>
      </c>
      <c r="V1133" t="s">
        <v>1110</v>
      </c>
      <c r="W1133" t="s">
        <v>1129</v>
      </c>
      <c r="X1133" t="s">
        <v>824</v>
      </c>
      <c r="Y1133" t="s">
        <v>1129</v>
      </c>
      <c r="Z1133" t="s">
        <v>47</v>
      </c>
      <c r="AA1133"/>
      <c r="AB1133"/>
      <c r="AC1133"/>
      <c r="AD1133"/>
    </row>
    <row r="1134" spans="1:30">
      <c r="A1134">
        <v>5110070002</v>
      </c>
      <c r="B1134" t="s">
        <v>30</v>
      </c>
      <c r="C1134" t="s">
        <v>230</v>
      </c>
      <c r="D1134" t="s">
        <v>231</v>
      </c>
      <c r="E1134" t="s">
        <v>48</v>
      </c>
      <c r="F1134" t="s">
        <v>48</v>
      </c>
      <c r="G1134" t="s">
        <v>620</v>
      </c>
      <c r="H1134" t="s">
        <v>50</v>
      </c>
      <c r="I1134" t="s">
        <v>621</v>
      </c>
      <c r="J1134" t="s">
        <v>622</v>
      </c>
      <c r="K1134" t="str">
        <f>"na"</f>
        <v>0</v>
      </c>
      <c r="L1134">
        <v>100000</v>
      </c>
      <c r="M1134"/>
      <c r="N1134" t="s">
        <v>38</v>
      </c>
      <c r="O1134" t="s">
        <v>38</v>
      </c>
      <c r="P1134" t="s">
        <v>53</v>
      </c>
      <c r="Q1134" t="s">
        <v>38</v>
      </c>
      <c r="R1134" t="s">
        <v>38</v>
      </c>
      <c r="S1134" t="s">
        <v>42</v>
      </c>
      <c r="T1134" t="s">
        <v>42</v>
      </c>
      <c r="U1134" t="s">
        <v>1129</v>
      </c>
      <c r="V1134" t="s">
        <v>1110</v>
      </c>
      <c r="W1134" t="s">
        <v>1129</v>
      </c>
      <c r="X1134" t="s">
        <v>824</v>
      </c>
      <c r="Y1134" t="s">
        <v>1129</v>
      </c>
      <c r="Z1134" t="s">
        <v>47</v>
      </c>
      <c r="AA1134"/>
      <c r="AB1134"/>
      <c r="AC1134"/>
      <c r="AD1134"/>
    </row>
    <row r="1135" spans="1:30">
      <c r="A1135">
        <v>3110100088</v>
      </c>
      <c r="B1135" t="s">
        <v>30</v>
      </c>
      <c r="C1135" t="s">
        <v>61</v>
      </c>
      <c r="D1135" t="s">
        <v>71</v>
      </c>
      <c r="E1135" t="s">
        <v>118</v>
      </c>
      <c r="F1135" t="s">
        <v>90</v>
      </c>
      <c r="G1135" t="s">
        <v>85</v>
      </c>
      <c r="H1135" t="s">
        <v>50</v>
      </c>
      <c r="I1135" t="s">
        <v>1183</v>
      </c>
      <c r="J1135" t="s">
        <v>1184</v>
      </c>
      <c r="K1135" t="str">
        <f>"3610"</f>
        <v>0</v>
      </c>
      <c r="L1135">
        <v>30000</v>
      </c>
      <c r="M1135"/>
      <c r="N1135" t="s">
        <v>38</v>
      </c>
      <c r="O1135" t="s">
        <v>38</v>
      </c>
      <c r="P1135" t="s">
        <v>53</v>
      </c>
      <c r="Q1135" t="s">
        <v>38</v>
      </c>
      <c r="R1135" t="s">
        <v>38</v>
      </c>
      <c r="S1135" t="s">
        <v>42</v>
      </c>
      <c r="T1135" t="s">
        <v>42</v>
      </c>
      <c r="U1135" t="s">
        <v>1130</v>
      </c>
      <c r="V1135" t="s">
        <v>925</v>
      </c>
      <c r="W1135" t="s">
        <v>1130</v>
      </c>
      <c r="X1135" t="s">
        <v>824</v>
      </c>
      <c r="Y1135" t="s">
        <v>926</v>
      </c>
      <c r="Z1135" t="s">
        <v>47</v>
      </c>
      <c r="AA1135"/>
      <c r="AB1135"/>
      <c r="AC1135"/>
      <c r="AD1135"/>
    </row>
    <row r="1136" spans="1:30">
      <c r="A1136">
        <v>4110040015</v>
      </c>
      <c r="B1136" t="s">
        <v>30</v>
      </c>
      <c r="C1136" t="s">
        <v>88</v>
      </c>
      <c r="D1136" t="s">
        <v>222</v>
      </c>
      <c r="E1136" t="s">
        <v>48</v>
      </c>
      <c r="F1136" t="s">
        <v>90</v>
      </c>
      <c r="G1136" t="s">
        <v>85</v>
      </c>
      <c r="H1136" t="s">
        <v>50</v>
      </c>
      <c r="I1136" t="s">
        <v>86</v>
      </c>
      <c r="J1136" t="s">
        <v>315</v>
      </c>
      <c r="K1136" t="str">
        <f>"B1903148"</f>
        <v>0</v>
      </c>
      <c r="L1136">
        <v>30000</v>
      </c>
      <c r="M1136"/>
      <c r="N1136" t="s">
        <v>38</v>
      </c>
      <c r="O1136" t="s">
        <v>38</v>
      </c>
      <c r="P1136" t="s">
        <v>53</v>
      </c>
      <c r="Q1136" t="s">
        <v>38</v>
      </c>
      <c r="R1136" t="s">
        <v>38</v>
      </c>
      <c r="S1136" t="s">
        <v>42</v>
      </c>
      <c r="T1136" t="s">
        <v>42</v>
      </c>
      <c r="U1136" t="s">
        <v>1130</v>
      </c>
      <c r="V1136" t="s">
        <v>636</v>
      </c>
      <c r="W1136" t="s">
        <v>1130</v>
      </c>
      <c r="X1136" t="s">
        <v>824</v>
      </c>
      <c r="Y1136" t="s">
        <v>965</v>
      </c>
      <c r="Z1136" t="s">
        <v>47</v>
      </c>
      <c r="AA1136"/>
      <c r="AB1136"/>
      <c r="AC1136"/>
      <c r="AD1136" t="s">
        <v>638</v>
      </c>
    </row>
    <row r="1137" spans="1:30">
      <c r="A1137">
        <v>3110100120</v>
      </c>
      <c r="B1137" t="s">
        <v>30</v>
      </c>
      <c r="C1137" t="s">
        <v>61</v>
      </c>
      <c r="D1137" t="s">
        <v>71</v>
      </c>
      <c r="E1137" t="s">
        <v>215</v>
      </c>
      <c r="F1137" t="s">
        <v>90</v>
      </c>
      <c r="G1137" t="s">
        <v>523</v>
      </c>
      <c r="H1137" t="s">
        <v>50</v>
      </c>
      <c r="I1137" t="s">
        <v>832</v>
      </c>
      <c r="J1137" t="s">
        <v>1185</v>
      </c>
      <c r="K1137" t="str">
        <f>"1579917"</f>
        <v>0</v>
      </c>
      <c r="L1137">
        <v>30000</v>
      </c>
      <c r="M1137"/>
      <c r="N1137" t="s">
        <v>38</v>
      </c>
      <c r="O1137" t="s">
        <v>38</v>
      </c>
      <c r="P1137" t="s">
        <v>53</v>
      </c>
      <c r="Q1137" t="s">
        <v>38</v>
      </c>
      <c r="R1137" t="s">
        <v>38</v>
      </c>
      <c r="S1137" t="s">
        <v>42</v>
      </c>
      <c r="T1137" t="s">
        <v>42</v>
      </c>
      <c r="U1137" t="s">
        <v>1130</v>
      </c>
      <c r="V1137" t="s">
        <v>636</v>
      </c>
      <c r="W1137" t="s">
        <v>1130</v>
      </c>
      <c r="X1137" t="s">
        <v>824</v>
      </c>
      <c r="Y1137" t="s">
        <v>989</v>
      </c>
      <c r="Z1137" t="s">
        <v>47</v>
      </c>
      <c r="AA1137"/>
      <c r="AB1137"/>
      <c r="AC1137"/>
      <c r="AD1137" t="s">
        <v>710</v>
      </c>
    </row>
    <row r="1138" spans="1:30">
      <c r="A1138">
        <v>3110100121</v>
      </c>
      <c r="B1138" t="s">
        <v>30</v>
      </c>
      <c r="C1138" t="s">
        <v>88</v>
      </c>
      <c r="D1138" t="s">
        <v>222</v>
      </c>
      <c r="E1138" t="s">
        <v>215</v>
      </c>
      <c r="F1138" t="s">
        <v>90</v>
      </c>
      <c r="G1138" t="s">
        <v>523</v>
      </c>
      <c r="H1138" t="s">
        <v>50</v>
      </c>
      <c r="I1138" t="s">
        <v>832</v>
      </c>
      <c r="J1138" t="s">
        <v>1186</v>
      </c>
      <c r="K1138" t="str">
        <f>"0852"</f>
        <v>0</v>
      </c>
      <c r="L1138">
        <v>30000</v>
      </c>
      <c r="M1138"/>
      <c r="N1138" t="s">
        <v>38</v>
      </c>
      <c r="O1138" t="s">
        <v>38</v>
      </c>
      <c r="P1138" t="s">
        <v>53</v>
      </c>
      <c r="Q1138" t="s">
        <v>38</v>
      </c>
      <c r="R1138" t="s">
        <v>38</v>
      </c>
      <c r="S1138" t="s">
        <v>42</v>
      </c>
      <c r="T1138" t="s">
        <v>42</v>
      </c>
      <c r="U1138" t="s">
        <v>1130</v>
      </c>
      <c r="V1138" t="s">
        <v>636</v>
      </c>
      <c r="W1138" t="s">
        <v>1130</v>
      </c>
      <c r="X1138" t="s">
        <v>824</v>
      </c>
      <c r="Y1138" t="s">
        <v>989</v>
      </c>
      <c r="Z1138" t="s">
        <v>47</v>
      </c>
      <c r="AA1138"/>
      <c r="AB1138"/>
      <c r="AC1138"/>
      <c r="AD1138" t="s">
        <v>1187</v>
      </c>
    </row>
    <row r="1139" spans="1:30">
      <c r="A1139">
        <v>3110100151</v>
      </c>
      <c r="B1139" t="s">
        <v>30</v>
      </c>
      <c r="C1139" t="s">
        <v>61</v>
      </c>
      <c r="D1139" t="s">
        <v>71</v>
      </c>
      <c r="E1139" t="s">
        <v>48</v>
      </c>
      <c r="F1139" t="s">
        <v>90</v>
      </c>
      <c r="G1139" t="s">
        <v>523</v>
      </c>
      <c r="H1139" t="s">
        <v>50</v>
      </c>
      <c r="I1139" t="s">
        <v>1188</v>
      </c>
      <c r="J1139" t="s">
        <v>315</v>
      </c>
      <c r="K1139" t="str">
        <f>"na"</f>
        <v>0</v>
      </c>
      <c r="L1139">
        <v>30000</v>
      </c>
      <c r="M1139"/>
      <c r="N1139" t="s">
        <v>38</v>
      </c>
      <c r="O1139" t="s">
        <v>38</v>
      </c>
      <c r="P1139" t="s">
        <v>53</v>
      </c>
      <c r="Q1139" t="s">
        <v>38</v>
      </c>
      <c r="R1139" t="s">
        <v>38</v>
      </c>
      <c r="S1139" t="s">
        <v>266</v>
      </c>
      <c r="T1139" t="s">
        <v>266</v>
      </c>
      <c r="U1139" t="s">
        <v>1130</v>
      </c>
      <c r="V1139" t="s">
        <v>636</v>
      </c>
      <c r="W1139" t="s">
        <v>1130</v>
      </c>
      <c r="X1139" t="s">
        <v>824</v>
      </c>
      <c r="Y1139" t="s">
        <v>989</v>
      </c>
      <c r="Z1139" t="s">
        <v>70</v>
      </c>
      <c r="AA1139"/>
      <c r="AB1139"/>
      <c r="AC1139"/>
      <c r="AD1139" t="s">
        <v>710</v>
      </c>
    </row>
    <row r="1140" spans="1:30">
      <c r="A1140">
        <v>3110100153</v>
      </c>
      <c r="B1140" t="s">
        <v>30</v>
      </c>
      <c r="C1140" t="s">
        <v>61</v>
      </c>
      <c r="D1140" t="s">
        <v>71</v>
      </c>
      <c r="E1140" t="s">
        <v>48</v>
      </c>
      <c r="F1140" t="s">
        <v>90</v>
      </c>
      <c r="G1140" t="s">
        <v>85</v>
      </c>
      <c r="H1140" t="s">
        <v>50</v>
      </c>
      <c r="I1140" t="s">
        <v>86</v>
      </c>
      <c r="J1140" t="s">
        <v>760</v>
      </c>
      <c r="K1140" t="str">
        <f>"B-11812"</f>
        <v>0</v>
      </c>
      <c r="L1140">
        <v>30000</v>
      </c>
      <c r="M1140"/>
      <c r="N1140" t="s">
        <v>38</v>
      </c>
      <c r="O1140" t="s">
        <v>38</v>
      </c>
      <c r="P1140" t="s">
        <v>53</v>
      </c>
      <c r="Q1140" t="s">
        <v>38</v>
      </c>
      <c r="R1140" t="s">
        <v>38</v>
      </c>
      <c r="S1140" t="s">
        <v>42</v>
      </c>
      <c r="T1140" t="s">
        <v>42</v>
      </c>
      <c r="U1140" t="s">
        <v>1130</v>
      </c>
      <c r="V1140" t="s">
        <v>636</v>
      </c>
      <c r="W1140" t="s">
        <v>1130</v>
      </c>
      <c r="X1140" t="s">
        <v>824</v>
      </c>
      <c r="Y1140" t="s">
        <v>989</v>
      </c>
      <c r="Z1140" t="s">
        <v>47</v>
      </c>
      <c r="AA1140"/>
      <c r="AB1140"/>
      <c r="AC1140"/>
      <c r="AD1140" t="s">
        <v>638</v>
      </c>
    </row>
    <row r="1141" spans="1:30">
      <c r="A1141">
        <v>4110020032</v>
      </c>
      <c r="B1141" t="s">
        <v>30</v>
      </c>
      <c r="C1141" t="s">
        <v>88</v>
      </c>
      <c r="D1141" t="s">
        <v>111</v>
      </c>
      <c r="E1141" t="s">
        <v>112</v>
      </c>
      <c r="F1141" t="s">
        <v>64</v>
      </c>
      <c r="G1141" t="s">
        <v>99</v>
      </c>
      <c r="H1141" t="s">
        <v>50</v>
      </c>
      <c r="I1141" t="s">
        <v>417</v>
      </c>
      <c r="J1141" t="s">
        <v>800</v>
      </c>
      <c r="K1141" t="str">
        <f>"210619360"</f>
        <v>0</v>
      </c>
      <c r="L1141">
        <v>36000</v>
      </c>
      <c r="M1141"/>
      <c r="N1141" t="s">
        <v>38</v>
      </c>
      <c r="O1141" t="s">
        <v>38</v>
      </c>
      <c r="P1141" t="s">
        <v>53</v>
      </c>
      <c r="Q1141" t="s">
        <v>38</v>
      </c>
      <c r="R1141" t="s">
        <v>38</v>
      </c>
      <c r="S1141" t="s">
        <v>42</v>
      </c>
      <c r="T1141" t="s">
        <v>42</v>
      </c>
      <c r="U1141" t="s">
        <v>1130</v>
      </c>
      <c r="V1141" t="s">
        <v>1068</v>
      </c>
      <c r="W1141" t="s">
        <v>1130</v>
      </c>
      <c r="X1141" t="s">
        <v>824</v>
      </c>
      <c r="Y1141" t="s">
        <v>1130</v>
      </c>
      <c r="Z1141" t="s">
        <v>47</v>
      </c>
      <c r="AA1141"/>
      <c r="AB1141"/>
      <c r="AC1141"/>
      <c r="AD1141"/>
    </row>
    <row r="1142" spans="1:30">
      <c r="A1142">
        <v>3110110007</v>
      </c>
      <c r="B1142" t="s">
        <v>30</v>
      </c>
      <c r="C1142" t="s">
        <v>61</v>
      </c>
      <c r="D1142" t="s">
        <v>62</v>
      </c>
      <c r="E1142" t="s">
        <v>48</v>
      </c>
      <c r="F1142" t="s">
        <v>48</v>
      </c>
      <c r="G1142" t="s">
        <v>85</v>
      </c>
      <c r="H1142" t="s">
        <v>50</v>
      </c>
      <c r="I1142" t="s">
        <v>100</v>
      </c>
      <c r="J1142" t="s">
        <v>1025</v>
      </c>
      <c r="K1142" t="str">
        <f>"na"</f>
        <v>0</v>
      </c>
      <c r="L1142">
        <v>30000</v>
      </c>
      <c r="M1142"/>
      <c r="N1142" t="s">
        <v>38</v>
      </c>
      <c r="O1142" t="s">
        <v>38</v>
      </c>
      <c r="P1142" t="s">
        <v>53</v>
      </c>
      <c r="Q1142" t="s">
        <v>38</v>
      </c>
      <c r="R1142" t="s">
        <v>38</v>
      </c>
      <c r="S1142" t="s">
        <v>42</v>
      </c>
      <c r="T1142" t="s">
        <v>42</v>
      </c>
      <c r="U1142" t="s">
        <v>1130</v>
      </c>
      <c r="V1142" t="s">
        <v>636</v>
      </c>
      <c r="W1142" t="s">
        <v>1130</v>
      </c>
      <c r="X1142" t="s">
        <v>824</v>
      </c>
      <c r="Y1142" t="s">
        <v>1053</v>
      </c>
      <c r="Z1142" t="s">
        <v>47</v>
      </c>
      <c r="AA1142"/>
      <c r="AB1142"/>
      <c r="AC1142"/>
      <c r="AD1142" t="s">
        <v>638</v>
      </c>
    </row>
    <row r="1143" spans="1:30">
      <c r="A1143">
        <v>3110110011</v>
      </c>
      <c r="B1143" t="s">
        <v>30</v>
      </c>
      <c r="C1143" t="s">
        <v>61</v>
      </c>
      <c r="D1143" t="s">
        <v>62</v>
      </c>
      <c r="E1143" t="s">
        <v>48</v>
      </c>
      <c r="F1143" t="s">
        <v>90</v>
      </c>
      <c r="G1143" t="s">
        <v>85</v>
      </c>
      <c r="H1143" t="s">
        <v>50</v>
      </c>
      <c r="I1143" t="s">
        <v>100</v>
      </c>
      <c r="J1143" t="s">
        <v>59</v>
      </c>
      <c r="K1143" t="str">
        <f>"na"</f>
        <v>0</v>
      </c>
      <c r="L1143">
        <v>30000</v>
      </c>
      <c r="M1143"/>
      <c r="N1143" t="s">
        <v>38</v>
      </c>
      <c r="O1143" t="s">
        <v>38</v>
      </c>
      <c r="P1143" t="s">
        <v>53</v>
      </c>
      <c r="Q1143" t="s">
        <v>38</v>
      </c>
      <c r="R1143" t="s">
        <v>38</v>
      </c>
      <c r="S1143" t="s">
        <v>42</v>
      </c>
      <c r="T1143" t="s">
        <v>42</v>
      </c>
      <c r="U1143" t="s">
        <v>1130</v>
      </c>
      <c r="V1143" t="s">
        <v>636</v>
      </c>
      <c r="W1143" t="s">
        <v>1130</v>
      </c>
      <c r="X1143" t="s">
        <v>824</v>
      </c>
      <c r="Y1143" t="s">
        <v>1053</v>
      </c>
      <c r="Z1143" t="s">
        <v>47</v>
      </c>
      <c r="AA1143"/>
      <c r="AB1143"/>
      <c r="AC1143"/>
      <c r="AD1143" t="s">
        <v>638</v>
      </c>
    </row>
    <row r="1144" spans="1:30">
      <c r="A1144">
        <v>4110050015</v>
      </c>
      <c r="B1144" t="s">
        <v>30</v>
      </c>
      <c r="C1144" t="s">
        <v>88</v>
      </c>
      <c r="D1144" t="s">
        <v>165</v>
      </c>
      <c r="E1144" t="s">
        <v>48</v>
      </c>
      <c r="F1144" t="s">
        <v>90</v>
      </c>
      <c r="G1144" t="s">
        <v>85</v>
      </c>
      <c r="H1144" t="s">
        <v>50</v>
      </c>
      <c r="I1144" t="s">
        <v>86</v>
      </c>
      <c r="J1144" t="s">
        <v>760</v>
      </c>
      <c r="K1144" t="str">
        <f>"b-8793"</f>
        <v>0</v>
      </c>
      <c r="L1144">
        <v>30000</v>
      </c>
      <c r="M1144"/>
      <c r="N1144" t="s">
        <v>38</v>
      </c>
      <c r="O1144" t="s">
        <v>38</v>
      </c>
      <c r="P1144" t="s">
        <v>53</v>
      </c>
      <c r="Q1144" t="s">
        <v>38</v>
      </c>
      <c r="R1144" t="s">
        <v>38</v>
      </c>
      <c r="S1144" t="s">
        <v>42</v>
      </c>
      <c r="T1144" t="s">
        <v>42</v>
      </c>
      <c r="U1144" t="s">
        <v>1130</v>
      </c>
      <c r="V1144" t="s">
        <v>1068</v>
      </c>
      <c r="W1144" t="s">
        <v>1130</v>
      </c>
      <c r="X1144" t="s">
        <v>824</v>
      </c>
      <c r="Y1144" t="s">
        <v>1066</v>
      </c>
      <c r="Z1144" t="s">
        <v>47</v>
      </c>
      <c r="AA1144"/>
      <c r="AB1144"/>
      <c r="AC1144"/>
      <c r="AD1144" t="s">
        <v>638</v>
      </c>
    </row>
    <row r="1145" spans="1:30">
      <c r="A1145">
        <v>4110050017</v>
      </c>
      <c r="B1145" t="s">
        <v>30</v>
      </c>
      <c r="C1145" t="s">
        <v>88</v>
      </c>
      <c r="D1145" t="s">
        <v>165</v>
      </c>
      <c r="E1145" t="s">
        <v>48</v>
      </c>
      <c r="F1145" t="s">
        <v>90</v>
      </c>
      <c r="G1145" t="s">
        <v>523</v>
      </c>
      <c r="H1145" t="s">
        <v>50</v>
      </c>
      <c r="I1145" t="s">
        <v>832</v>
      </c>
      <c r="J1145" t="s">
        <v>315</v>
      </c>
      <c r="K1145" t="str">
        <f>"0929"</f>
        <v>0</v>
      </c>
      <c r="L1145">
        <v>30000</v>
      </c>
      <c r="M1145"/>
      <c r="N1145" t="s">
        <v>38</v>
      </c>
      <c r="O1145" t="s">
        <v>38</v>
      </c>
      <c r="P1145" t="s">
        <v>53</v>
      </c>
      <c r="Q1145" t="s">
        <v>38</v>
      </c>
      <c r="R1145" t="s">
        <v>38</v>
      </c>
      <c r="S1145" t="s">
        <v>42</v>
      </c>
      <c r="T1145" t="s">
        <v>42</v>
      </c>
      <c r="U1145" t="s">
        <v>1130</v>
      </c>
      <c r="V1145" t="s">
        <v>1068</v>
      </c>
      <c r="W1145" t="s">
        <v>1130</v>
      </c>
      <c r="X1145" t="s">
        <v>824</v>
      </c>
      <c r="Y1145" t="s">
        <v>1066</v>
      </c>
      <c r="Z1145" t="s">
        <v>47</v>
      </c>
      <c r="AA1145"/>
      <c r="AB1145"/>
      <c r="AC1145"/>
      <c r="AD1145" t="s">
        <v>638</v>
      </c>
    </row>
    <row r="1146" spans="1:30">
      <c r="A1146">
        <v>3110110087</v>
      </c>
      <c r="B1146" t="s">
        <v>30</v>
      </c>
      <c r="C1146" t="s">
        <v>61</v>
      </c>
      <c r="D1146" t="s">
        <v>62</v>
      </c>
      <c r="E1146" t="s">
        <v>48</v>
      </c>
      <c r="F1146" t="s">
        <v>90</v>
      </c>
      <c r="G1146" t="s">
        <v>523</v>
      </c>
      <c r="H1146" t="s">
        <v>50</v>
      </c>
      <c r="I1146" t="s">
        <v>1188</v>
      </c>
      <c r="J1146" t="s">
        <v>1189</v>
      </c>
      <c r="K1146" t="str">
        <f>"na"</f>
        <v>0</v>
      </c>
      <c r="L1146">
        <v>30000</v>
      </c>
      <c r="M1146"/>
      <c r="N1146" t="s">
        <v>38</v>
      </c>
      <c r="O1146" t="s">
        <v>38</v>
      </c>
      <c r="P1146" t="s">
        <v>53</v>
      </c>
      <c r="Q1146" t="s">
        <v>38</v>
      </c>
      <c r="R1146" t="s">
        <v>38</v>
      </c>
      <c r="S1146" t="s">
        <v>266</v>
      </c>
      <c r="T1146" t="s">
        <v>266</v>
      </c>
      <c r="U1146" t="s">
        <v>1130</v>
      </c>
      <c r="V1146" t="s">
        <v>636</v>
      </c>
      <c r="W1146" t="s">
        <v>1130</v>
      </c>
      <c r="X1146" t="s">
        <v>824</v>
      </c>
      <c r="Y1146" t="s">
        <v>1066</v>
      </c>
      <c r="Z1146" t="s">
        <v>70</v>
      </c>
      <c r="AA1146"/>
      <c r="AB1146"/>
      <c r="AC1146"/>
      <c r="AD1146" t="s">
        <v>710</v>
      </c>
    </row>
    <row r="1147" spans="1:30">
      <c r="A1147">
        <v>3110110089</v>
      </c>
      <c r="B1147" t="s">
        <v>30</v>
      </c>
      <c r="C1147" t="s">
        <v>61</v>
      </c>
      <c r="D1147" t="s">
        <v>62</v>
      </c>
      <c r="E1147" t="s">
        <v>215</v>
      </c>
      <c r="F1147" t="s">
        <v>90</v>
      </c>
      <c r="G1147" t="s">
        <v>85</v>
      </c>
      <c r="H1147" t="s">
        <v>50</v>
      </c>
      <c r="I1147" t="s">
        <v>91</v>
      </c>
      <c r="J1147"/>
      <c r="K1147" t="str">
        <f>"534"</f>
        <v>0</v>
      </c>
      <c r="L1147">
        <v>30000</v>
      </c>
      <c r="M1147"/>
      <c r="N1147" t="s">
        <v>38</v>
      </c>
      <c r="O1147" t="s">
        <v>38</v>
      </c>
      <c r="P1147" t="s">
        <v>53</v>
      </c>
      <c r="Q1147" t="s">
        <v>38</v>
      </c>
      <c r="R1147" t="s">
        <v>38</v>
      </c>
      <c r="S1147" t="s">
        <v>42</v>
      </c>
      <c r="T1147" t="s">
        <v>42</v>
      </c>
      <c r="U1147" t="s">
        <v>1130</v>
      </c>
      <c r="V1147" t="s">
        <v>636</v>
      </c>
      <c r="W1147" t="s">
        <v>1130</v>
      </c>
      <c r="X1147" t="s">
        <v>824</v>
      </c>
      <c r="Y1147" t="s">
        <v>1066</v>
      </c>
      <c r="Z1147" t="s">
        <v>47</v>
      </c>
      <c r="AA1147"/>
      <c r="AB1147"/>
      <c r="AC1147"/>
      <c r="AD1147" t="s">
        <v>638</v>
      </c>
    </row>
    <row r="1148" spans="1:30">
      <c r="A1148">
        <v>3110110090</v>
      </c>
      <c r="B1148" t="s">
        <v>30</v>
      </c>
      <c r="C1148" t="s">
        <v>61</v>
      </c>
      <c r="D1148" t="s">
        <v>62</v>
      </c>
      <c r="E1148" t="s">
        <v>215</v>
      </c>
      <c r="F1148" t="s">
        <v>90</v>
      </c>
      <c r="G1148" t="s">
        <v>85</v>
      </c>
      <c r="H1148" t="s">
        <v>50</v>
      </c>
      <c r="I1148" t="s">
        <v>1188</v>
      </c>
      <c r="J1148" t="s">
        <v>1189</v>
      </c>
      <c r="K1148" t="str">
        <f>"na"</f>
        <v>0</v>
      </c>
      <c r="L1148">
        <v>30000</v>
      </c>
      <c r="M1148"/>
      <c r="N1148" t="s">
        <v>38</v>
      </c>
      <c r="O1148" t="s">
        <v>38</v>
      </c>
      <c r="P1148" t="s">
        <v>53</v>
      </c>
      <c r="Q1148" t="s">
        <v>38</v>
      </c>
      <c r="R1148" t="s">
        <v>38</v>
      </c>
      <c r="S1148" t="s">
        <v>42</v>
      </c>
      <c r="T1148" t="s">
        <v>42</v>
      </c>
      <c r="U1148" t="s">
        <v>1130</v>
      </c>
      <c r="V1148" t="s">
        <v>636</v>
      </c>
      <c r="W1148" t="s">
        <v>1130</v>
      </c>
      <c r="X1148" t="s">
        <v>824</v>
      </c>
      <c r="Y1148" t="s">
        <v>1066</v>
      </c>
      <c r="Z1148" t="s">
        <v>47</v>
      </c>
      <c r="AA1148"/>
      <c r="AB1148"/>
      <c r="AC1148"/>
      <c r="AD1148" t="s">
        <v>638</v>
      </c>
    </row>
    <row r="1149" spans="1:30">
      <c r="A1149">
        <v>3110110094</v>
      </c>
      <c r="B1149" t="s">
        <v>30</v>
      </c>
      <c r="C1149" t="s">
        <v>61</v>
      </c>
      <c r="D1149" t="s">
        <v>62</v>
      </c>
      <c r="E1149" t="s">
        <v>215</v>
      </c>
      <c r="F1149" t="s">
        <v>90</v>
      </c>
      <c r="G1149" t="s">
        <v>523</v>
      </c>
      <c r="H1149" t="s">
        <v>50</v>
      </c>
      <c r="I1149" t="s">
        <v>832</v>
      </c>
      <c r="J1149" t="s">
        <v>1190</v>
      </c>
      <c r="K1149" t="str">
        <f>"1081"</f>
        <v>0</v>
      </c>
      <c r="L1149">
        <v>30000</v>
      </c>
      <c r="M1149"/>
      <c r="N1149" t="s">
        <v>38</v>
      </c>
      <c r="O1149" t="s">
        <v>38</v>
      </c>
      <c r="P1149" t="s">
        <v>53</v>
      </c>
      <c r="Q1149" t="s">
        <v>38</v>
      </c>
      <c r="R1149" t="s">
        <v>38</v>
      </c>
      <c r="S1149" t="s">
        <v>42</v>
      </c>
      <c r="T1149" t="s">
        <v>42</v>
      </c>
      <c r="U1149" t="s">
        <v>1130</v>
      </c>
      <c r="V1149" t="s">
        <v>636</v>
      </c>
      <c r="W1149" t="s">
        <v>1130</v>
      </c>
      <c r="X1149" t="s">
        <v>824</v>
      </c>
      <c r="Y1149" t="s">
        <v>1066</v>
      </c>
      <c r="Z1149" t="s">
        <v>47</v>
      </c>
      <c r="AA1149"/>
      <c r="AB1149"/>
      <c r="AC1149"/>
      <c r="AD1149" t="s">
        <v>638</v>
      </c>
    </row>
    <row r="1150" spans="1:30">
      <c r="A1150">
        <v>4110030011</v>
      </c>
      <c r="B1150" t="s">
        <v>30</v>
      </c>
      <c r="C1150" t="s">
        <v>88</v>
      </c>
      <c r="D1150" t="s">
        <v>89</v>
      </c>
      <c r="E1150" t="s">
        <v>48</v>
      </c>
      <c r="F1150" t="s">
        <v>90</v>
      </c>
      <c r="G1150" t="s">
        <v>85</v>
      </c>
      <c r="H1150" t="s">
        <v>50</v>
      </c>
      <c r="I1150" t="s">
        <v>1188</v>
      </c>
      <c r="J1150" t="s">
        <v>315</v>
      </c>
      <c r="K1150" t="str">
        <f>"n/a"</f>
        <v>0</v>
      </c>
      <c r="L1150">
        <v>30000</v>
      </c>
      <c r="M1150"/>
      <c r="N1150" t="s">
        <v>38</v>
      </c>
      <c r="O1150" t="s">
        <v>38</v>
      </c>
      <c r="P1150" t="s">
        <v>53</v>
      </c>
      <c r="Q1150" t="s">
        <v>38</v>
      </c>
      <c r="R1150" t="s">
        <v>38</v>
      </c>
      <c r="S1150" t="s">
        <v>42</v>
      </c>
      <c r="T1150" t="s">
        <v>42</v>
      </c>
      <c r="U1150" t="s">
        <v>1130</v>
      </c>
      <c r="V1150" t="s">
        <v>1068</v>
      </c>
      <c r="W1150" t="s">
        <v>1130</v>
      </c>
      <c r="X1150" t="s">
        <v>824</v>
      </c>
      <c r="Y1150" t="s">
        <v>1089</v>
      </c>
      <c r="Z1150" t="s">
        <v>47</v>
      </c>
      <c r="AA1150"/>
      <c r="AB1150"/>
      <c r="AC1150"/>
      <c r="AD1150" t="s">
        <v>638</v>
      </c>
    </row>
    <row r="1151" spans="1:30">
      <c r="A1151">
        <v>4110020006</v>
      </c>
      <c r="B1151" t="s">
        <v>30</v>
      </c>
      <c r="C1151" t="s">
        <v>88</v>
      </c>
      <c r="D1151" t="s">
        <v>111</v>
      </c>
      <c r="E1151" t="s">
        <v>48</v>
      </c>
      <c r="F1151" t="s">
        <v>90</v>
      </c>
      <c r="G1151" t="s">
        <v>85</v>
      </c>
      <c r="H1151" t="s">
        <v>50</v>
      </c>
      <c r="I1151" t="s">
        <v>86</v>
      </c>
      <c r="J1151" t="s">
        <v>760</v>
      </c>
      <c r="K1151" t="str">
        <f>"b-11851"</f>
        <v>0</v>
      </c>
      <c r="L1151">
        <v>30000</v>
      </c>
      <c r="M1151"/>
      <c r="N1151" t="s">
        <v>38</v>
      </c>
      <c r="O1151" t="s">
        <v>38</v>
      </c>
      <c r="P1151" t="s">
        <v>53</v>
      </c>
      <c r="Q1151" t="s">
        <v>38</v>
      </c>
      <c r="R1151" t="s">
        <v>38</v>
      </c>
      <c r="S1151" t="s">
        <v>42</v>
      </c>
      <c r="T1151" t="s">
        <v>42</v>
      </c>
      <c r="U1151" t="s">
        <v>1130</v>
      </c>
      <c r="V1151" t="s">
        <v>1068</v>
      </c>
      <c r="W1151" t="s">
        <v>1130</v>
      </c>
      <c r="X1151" t="s">
        <v>824</v>
      </c>
      <c r="Y1151" t="s">
        <v>1107</v>
      </c>
      <c r="Z1151" t="s">
        <v>47</v>
      </c>
      <c r="AA1151"/>
      <c r="AB1151"/>
      <c r="AC1151"/>
      <c r="AD1151" t="s">
        <v>638</v>
      </c>
    </row>
    <row r="1152" spans="1:30">
      <c r="A1152">
        <v>4110010001</v>
      </c>
      <c r="B1152" t="s">
        <v>30</v>
      </c>
      <c r="C1152" t="s">
        <v>88</v>
      </c>
      <c r="D1152" t="s">
        <v>244</v>
      </c>
      <c r="E1152" t="s">
        <v>48</v>
      </c>
      <c r="F1152" t="s">
        <v>90</v>
      </c>
      <c r="G1152" t="s">
        <v>523</v>
      </c>
      <c r="H1152" t="s">
        <v>50</v>
      </c>
      <c r="I1152" t="s">
        <v>524</v>
      </c>
      <c r="J1152" t="s">
        <v>315</v>
      </c>
      <c r="K1152" t="str">
        <f>"27736"</f>
        <v>0</v>
      </c>
      <c r="L1152">
        <v>30000</v>
      </c>
      <c r="M1152"/>
      <c r="N1152" t="s">
        <v>38</v>
      </c>
      <c r="O1152" t="s">
        <v>38</v>
      </c>
      <c r="P1152" t="s">
        <v>53</v>
      </c>
      <c r="Q1152" t="s">
        <v>38</v>
      </c>
      <c r="R1152" t="s">
        <v>38</v>
      </c>
      <c r="S1152" t="s">
        <v>42</v>
      </c>
      <c r="T1152" t="s">
        <v>42</v>
      </c>
      <c r="U1152" t="s">
        <v>1130</v>
      </c>
      <c r="V1152" t="s">
        <v>1110</v>
      </c>
      <c r="W1152" t="s">
        <v>1130</v>
      </c>
      <c r="X1152" t="s">
        <v>824</v>
      </c>
      <c r="Y1152" t="s">
        <v>1107</v>
      </c>
      <c r="Z1152" t="s">
        <v>47</v>
      </c>
      <c r="AA1152"/>
      <c r="AB1152"/>
      <c r="AC1152"/>
      <c r="AD1152"/>
    </row>
    <row r="1153" spans="1:30">
      <c r="A1153">
        <v>3110100009</v>
      </c>
      <c r="B1153" t="s">
        <v>30</v>
      </c>
      <c r="C1153" t="s">
        <v>61</v>
      </c>
      <c r="D1153" t="s">
        <v>71</v>
      </c>
      <c r="E1153" t="s">
        <v>552</v>
      </c>
      <c r="F1153" t="s">
        <v>64</v>
      </c>
      <c r="G1153" t="s">
        <v>553</v>
      </c>
      <c r="H1153" t="s">
        <v>50</v>
      </c>
      <c r="I1153" t="s">
        <v>554</v>
      </c>
      <c r="J1153" t="s">
        <v>1088</v>
      </c>
      <c r="K1153" t="str">
        <f>"na"</f>
        <v>0</v>
      </c>
      <c r="L1153">
        <v>333000</v>
      </c>
      <c r="M1153"/>
      <c r="N1153" t="s">
        <v>38</v>
      </c>
      <c r="O1153" t="s">
        <v>38</v>
      </c>
      <c r="P1153" t="s">
        <v>53</v>
      </c>
      <c r="Q1153" t="s">
        <v>38</v>
      </c>
      <c r="R1153" t="s">
        <v>38</v>
      </c>
      <c r="S1153" t="s">
        <v>42</v>
      </c>
      <c r="T1153" t="s">
        <v>42</v>
      </c>
      <c r="U1153" t="s">
        <v>1130</v>
      </c>
      <c r="V1153" t="s">
        <v>925</v>
      </c>
      <c r="W1153" t="s">
        <v>1130</v>
      </c>
      <c r="X1153" t="s">
        <v>824</v>
      </c>
      <c r="Y1153" t="s">
        <v>926</v>
      </c>
      <c r="Z1153" t="s">
        <v>47</v>
      </c>
      <c r="AA1153"/>
      <c r="AB1153"/>
      <c r="AC1153"/>
      <c r="AD1153"/>
    </row>
    <row r="1154" spans="1:30">
      <c r="A1154">
        <v>4110020033</v>
      </c>
      <c r="B1154" t="s">
        <v>30</v>
      </c>
      <c r="C1154" t="s">
        <v>88</v>
      </c>
      <c r="D1154" t="s">
        <v>111</v>
      </c>
      <c r="E1154" t="s">
        <v>112</v>
      </c>
      <c r="F1154" t="s">
        <v>64</v>
      </c>
      <c r="G1154" t="s">
        <v>99</v>
      </c>
      <c r="H1154" t="s">
        <v>50</v>
      </c>
      <c r="I1154" t="s">
        <v>314</v>
      </c>
      <c r="J1154" t="s">
        <v>1191</v>
      </c>
      <c r="K1154" t="str">
        <f>"21g23d401aa011139"</f>
        <v>0</v>
      </c>
      <c r="L1154">
        <v>36000</v>
      </c>
      <c r="M1154"/>
      <c r="N1154" t="s">
        <v>38</v>
      </c>
      <c r="O1154" t="s">
        <v>38</v>
      </c>
      <c r="P1154" t="s">
        <v>53</v>
      </c>
      <c r="Q1154" t="s">
        <v>38</v>
      </c>
      <c r="R1154" t="s">
        <v>38</v>
      </c>
      <c r="S1154" t="s">
        <v>42</v>
      </c>
      <c r="T1154" t="s">
        <v>42</v>
      </c>
      <c r="U1154" t="s">
        <v>1130</v>
      </c>
      <c r="V1154" t="s">
        <v>1068</v>
      </c>
      <c r="W1154" t="s">
        <v>1130</v>
      </c>
      <c r="X1154" t="s">
        <v>824</v>
      </c>
      <c r="Y1154" t="s">
        <v>1130</v>
      </c>
      <c r="Z1154" t="s">
        <v>47</v>
      </c>
      <c r="AA1154"/>
      <c r="AB1154"/>
      <c r="AC1154"/>
      <c r="AD1154"/>
    </row>
    <row r="1155" spans="1:30">
      <c r="A1155">
        <v>4110040016</v>
      </c>
      <c r="B1155" t="s">
        <v>30</v>
      </c>
      <c r="C1155" t="s">
        <v>88</v>
      </c>
      <c r="D1155" t="s">
        <v>222</v>
      </c>
      <c r="E1155" t="s">
        <v>339</v>
      </c>
      <c r="F1155" t="s">
        <v>90</v>
      </c>
      <c r="G1155" t="s">
        <v>628</v>
      </c>
      <c r="H1155" t="s">
        <v>35</v>
      </c>
      <c r="I1155" t="s">
        <v>1192</v>
      </c>
      <c r="J1155" t="s">
        <v>315</v>
      </c>
      <c r="K1155" t="str">
        <f>"na"</f>
        <v>0</v>
      </c>
      <c r="L1155">
        <v>763000</v>
      </c>
      <c r="M1155"/>
      <c r="N1155" t="s">
        <v>38</v>
      </c>
      <c r="O1155" t="s">
        <v>38</v>
      </c>
      <c r="P1155" t="s">
        <v>53</v>
      </c>
      <c r="Q1155" t="s">
        <v>38</v>
      </c>
      <c r="R1155" t="s">
        <v>38</v>
      </c>
      <c r="S1155" t="s">
        <v>42</v>
      </c>
      <c r="T1155" t="s">
        <v>42</v>
      </c>
      <c r="U1155" t="s">
        <v>1130</v>
      </c>
      <c r="V1155" t="s">
        <v>636</v>
      </c>
      <c r="W1155" t="s">
        <v>1130</v>
      </c>
      <c r="X1155" t="s">
        <v>824</v>
      </c>
      <c r="Y1155" t="s">
        <v>965</v>
      </c>
      <c r="Z1155" t="s">
        <v>47</v>
      </c>
      <c r="AA1155"/>
      <c r="AB1155"/>
      <c r="AC1155"/>
      <c r="AD1155" t="s">
        <v>638</v>
      </c>
    </row>
    <row r="1156" spans="1:30">
      <c r="A1156">
        <v>3110100102</v>
      </c>
      <c r="B1156" t="s">
        <v>30</v>
      </c>
      <c r="C1156" t="s">
        <v>61</v>
      </c>
      <c r="D1156" t="s">
        <v>71</v>
      </c>
      <c r="E1156" t="s">
        <v>55</v>
      </c>
      <c r="F1156" t="s">
        <v>90</v>
      </c>
      <c r="G1156" t="s">
        <v>628</v>
      </c>
      <c r="H1156" t="s">
        <v>35</v>
      </c>
      <c r="I1156" t="s">
        <v>567</v>
      </c>
      <c r="J1156" t="s">
        <v>315</v>
      </c>
      <c r="K1156" t="str">
        <f>"402"</f>
        <v>0</v>
      </c>
      <c r="L1156">
        <v>763000</v>
      </c>
      <c r="M1156"/>
      <c r="N1156" t="s">
        <v>38</v>
      </c>
      <c r="O1156" t="s">
        <v>38</v>
      </c>
      <c r="P1156" t="s">
        <v>53</v>
      </c>
      <c r="Q1156" t="s">
        <v>38</v>
      </c>
      <c r="R1156" t="s">
        <v>38</v>
      </c>
      <c r="S1156" t="s">
        <v>42</v>
      </c>
      <c r="T1156" t="s">
        <v>42</v>
      </c>
      <c r="U1156" t="s">
        <v>1130</v>
      </c>
      <c r="V1156" t="s">
        <v>636</v>
      </c>
      <c r="W1156" t="s">
        <v>1130</v>
      </c>
      <c r="X1156" t="s">
        <v>824</v>
      </c>
      <c r="Y1156" t="s">
        <v>989</v>
      </c>
      <c r="Z1156" t="s">
        <v>47</v>
      </c>
      <c r="AA1156"/>
      <c r="AB1156"/>
      <c r="AC1156"/>
      <c r="AD1156" t="s">
        <v>638</v>
      </c>
    </row>
    <row r="1157" spans="1:30">
      <c r="A1157">
        <v>3110100103</v>
      </c>
      <c r="B1157" t="s">
        <v>30</v>
      </c>
      <c r="C1157" t="s">
        <v>61</v>
      </c>
      <c r="D1157" t="s">
        <v>71</v>
      </c>
      <c r="E1157" t="s">
        <v>55</v>
      </c>
      <c r="F1157" t="s">
        <v>90</v>
      </c>
      <c r="G1157" t="s">
        <v>628</v>
      </c>
      <c r="H1157" t="s">
        <v>35</v>
      </c>
      <c r="I1157" t="s">
        <v>629</v>
      </c>
      <c r="J1157" t="s">
        <v>1193</v>
      </c>
      <c r="K1157" t="str">
        <f>"345"</f>
        <v>0</v>
      </c>
      <c r="L1157">
        <v>719816</v>
      </c>
      <c r="M1157"/>
      <c r="N1157" t="s">
        <v>38</v>
      </c>
      <c r="O1157" t="s">
        <v>38</v>
      </c>
      <c r="P1157" t="s">
        <v>53</v>
      </c>
      <c r="Q1157" t="s">
        <v>38</v>
      </c>
      <c r="R1157" t="s">
        <v>38</v>
      </c>
      <c r="S1157" t="s">
        <v>42</v>
      </c>
      <c r="T1157" t="s">
        <v>42</v>
      </c>
      <c r="U1157" t="s">
        <v>1130</v>
      </c>
      <c r="V1157" t="s">
        <v>636</v>
      </c>
      <c r="W1157" t="s">
        <v>1130</v>
      </c>
      <c r="X1157" t="s">
        <v>824</v>
      </c>
      <c r="Y1157" t="s">
        <v>989</v>
      </c>
      <c r="Z1157" t="s">
        <v>47</v>
      </c>
      <c r="AA1157"/>
      <c r="AB1157"/>
      <c r="AC1157"/>
      <c r="AD1157" t="s">
        <v>638</v>
      </c>
    </row>
    <row r="1158" spans="1:30">
      <c r="A1158">
        <v>3110110036</v>
      </c>
      <c r="B1158" t="s">
        <v>30</v>
      </c>
      <c r="C1158" t="s">
        <v>61</v>
      </c>
      <c r="D1158" t="s">
        <v>62</v>
      </c>
      <c r="E1158" t="s">
        <v>565</v>
      </c>
      <c r="F1158" t="s">
        <v>90</v>
      </c>
      <c r="G1158" t="s">
        <v>628</v>
      </c>
      <c r="H1158" t="s">
        <v>35</v>
      </c>
      <c r="I1158" t="s">
        <v>629</v>
      </c>
      <c r="J1158" t="s">
        <v>1194</v>
      </c>
      <c r="K1158" t="str">
        <f>"323"</f>
        <v>0</v>
      </c>
      <c r="L1158">
        <v>719816</v>
      </c>
      <c r="M1158"/>
      <c r="N1158" t="s">
        <v>38</v>
      </c>
      <c r="O1158" t="s">
        <v>38</v>
      </c>
      <c r="P1158" t="s">
        <v>53</v>
      </c>
      <c r="Q1158" t="s">
        <v>38</v>
      </c>
      <c r="R1158" t="s">
        <v>38</v>
      </c>
      <c r="S1158" t="s">
        <v>42</v>
      </c>
      <c r="T1158" t="s">
        <v>42</v>
      </c>
      <c r="U1158" t="s">
        <v>1130</v>
      </c>
      <c r="V1158" t="s">
        <v>636</v>
      </c>
      <c r="W1158" t="s">
        <v>1130</v>
      </c>
      <c r="X1158" t="s">
        <v>824</v>
      </c>
      <c r="Y1158" t="s">
        <v>1053</v>
      </c>
      <c r="Z1158" t="s">
        <v>47</v>
      </c>
      <c r="AA1158"/>
      <c r="AB1158"/>
      <c r="AC1158"/>
      <c r="AD1158" t="s">
        <v>638</v>
      </c>
    </row>
    <row r="1159" spans="1:30">
      <c r="A1159">
        <v>4110050003</v>
      </c>
      <c r="B1159" t="s">
        <v>30</v>
      </c>
      <c r="C1159" t="s">
        <v>88</v>
      </c>
      <c r="D1159" t="s">
        <v>165</v>
      </c>
      <c r="E1159" t="s">
        <v>55</v>
      </c>
      <c r="F1159" t="s">
        <v>90</v>
      </c>
      <c r="G1159" t="s">
        <v>628</v>
      </c>
      <c r="H1159" t="s">
        <v>35</v>
      </c>
      <c r="I1159" t="s">
        <v>1192</v>
      </c>
      <c r="J1159">
        <v>376</v>
      </c>
      <c r="K1159" t="str">
        <f>"19263"</f>
        <v>0</v>
      </c>
      <c r="L1159">
        <v>763000</v>
      </c>
      <c r="M1159"/>
      <c r="N1159" t="s">
        <v>38</v>
      </c>
      <c r="O1159" t="s">
        <v>38</v>
      </c>
      <c r="P1159" t="s">
        <v>53</v>
      </c>
      <c r="Q1159" t="s">
        <v>38</v>
      </c>
      <c r="R1159" t="s">
        <v>38</v>
      </c>
      <c r="S1159" t="s">
        <v>42</v>
      </c>
      <c r="T1159" t="s">
        <v>42</v>
      </c>
      <c r="U1159" t="s">
        <v>1130</v>
      </c>
      <c r="V1159" t="s">
        <v>1068</v>
      </c>
      <c r="W1159" t="s">
        <v>1130</v>
      </c>
      <c r="X1159" t="s">
        <v>824</v>
      </c>
      <c r="Y1159" t="s">
        <v>1066</v>
      </c>
      <c r="Z1159" t="s">
        <v>47</v>
      </c>
      <c r="AA1159"/>
      <c r="AB1159"/>
      <c r="AC1159"/>
      <c r="AD1159" t="s">
        <v>638</v>
      </c>
    </row>
    <row r="1160" spans="1:30">
      <c r="A1160">
        <v>4110050004</v>
      </c>
      <c r="B1160" t="s">
        <v>30</v>
      </c>
      <c r="C1160" t="s">
        <v>88</v>
      </c>
      <c r="D1160" t="s">
        <v>165</v>
      </c>
      <c r="E1160" t="s">
        <v>55</v>
      </c>
      <c r="F1160" t="s">
        <v>90</v>
      </c>
      <c r="G1160" t="s">
        <v>628</v>
      </c>
      <c r="H1160" t="s">
        <v>35</v>
      </c>
      <c r="I1160" t="s">
        <v>1195</v>
      </c>
      <c r="J1160" t="s">
        <v>1196</v>
      </c>
      <c r="K1160" t="str">
        <f>"0105105"</f>
        <v>0</v>
      </c>
      <c r="L1160">
        <v>800000</v>
      </c>
      <c r="M1160"/>
      <c r="N1160" t="s">
        <v>38</v>
      </c>
      <c r="O1160" t="s">
        <v>38</v>
      </c>
      <c r="P1160" t="s">
        <v>53</v>
      </c>
      <c r="Q1160" t="s">
        <v>38</v>
      </c>
      <c r="R1160" t="s">
        <v>38</v>
      </c>
      <c r="S1160" t="s">
        <v>42</v>
      </c>
      <c r="T1160" t="s">
        <v>42</v>
      </c>
      <c r="U1160" t="s">
        <v>1130</v>
      </c>
      <c r="V1160" t="s">
        <v>1068</v>
      </c>
      <c r="W1160" t="s">
        <v>1130</v>
      </c>
      <c r="X1160" t="s">
        <v>824</v>
      </c>
      <c r="Y1160" t="s">
        <v>1066</v>
      </c>
      <c r="Z1160" t="s">
        <v>47</v>
      </c>
      <c r="AA1160"/>
      <c r="AB1160"/>
      <c r="AC1160"/>
      <c r="AD1160" t="s">
        <v>638</v>
      </c>
    </row>
    <row r="1161" spans="1:30">
      <c r="A1161">
        <v>3110100127</v>
      </c>
      <c r="B1161" t="s">
        <v>30</v>
      </c>
      <c r="C1161" t="s">
        <v>61</v>
      </c>
      <c r="D1161" t="s">
        <v>71</v>
      </c>
      <c r="E1161" t="s">
        <v>344</v>
      </c>
      <c r="F1161" t="s">
        <v>344</v>
      </c>
      <c r="G1161" t="s">
        <v>1197</v>
      </c>
      <c r="H1161" t="s">
        <v>35</v>
      </c>
      <c r="I1161" t="s">
        <v>1198</v>
      </c>
      <c r="J1161" t="s">
        <v>1199</v>
      </c>
      <c r="K1161" t="str">
        <f>"14J9296E"</f>
        <v>0</v>
      </c>
      <c r="L1161">
        <v>600000</v>
      </c>
      <c r="M1161"/>
      <c r="N1161" t="s">
        <v>38</v>
      </c>
      <c r="O1161" t="s">
        <v>38</v>
      </c>
      <c r="P1161" t="s">
        <v>53</v>
      </c>
      <c r="Q1161" t="s">
        <v>38</v>
      </c>
      <c r="R1161" t="s">
        <v>38</v>
      </c>
      <c r="S1161" t="s">
        <v>42</v>
      </c>
      <c r="T1161" t="s">
        <v>42</v>
      </c>
      <c r="U1161" t="s">
        <v>1130</v>
      </c>
      <c r="V1161" t="s">
        <v>636</v>
      </c>
      <c r="W1161" t="s">
        <v>1130</v>
      </c>
      <c r="X1161" t="s">
        <v>824</v>
      </c>
      <c r="Y1161" t="s">
        <v>989</v>
      </c>
      <c r="Z1161" t="s">
        <v>47</v>
      </c>
      <c r="AA1161"/>
      <c r="AB1161"/>
      <c r="AC1161"/>
      <c r="AD1161" t="s">
        <v>638</v>
      </c>
    </row>
    <row r="1162" spans="1:30">
      <c r="A1162">
        <v>3110100128</v>
      </c>
      <c r="B1162" t="s">
        <v>30</v>
      </c>
      <c r="C1162" t="s">
        <v>61</v>
      </c>
      <c r="D1162" t="s">
        <v>71</v>
      </c>
      <c r="E1162" t="s">
        <v>344</v>
      </c>
      <c r="F1162" t="s">
        <v>344</v>
      </c>
      <c r="G1162" t="s">
        <v>1197</v>
      </c>
      <c r="H1162" t="s">
        <v>35</v>
      </c>
      <c r="I1162" t="s">
        <v>1198</v>
      </c>
      <c r="J1162" t="s">
        <v>1200</v>
      </c>
      <c r="K1162" t="str">
        <f>"14J9325E"</f>
        <v>0</v>
      </c>
      <c r="L1162">
        <v>600000</v>
      </c>
      <c r="M1162"/>
      <c r="N1162" t="s">
        <v>38</v>
      </c>
      <c r="O1162" t="s">
        <v>38</v>
      </c>
      <c r="P1162" t="s">
        <v>53</v>
      </c>
      <c r="Q1162" t="s">
        <v>38</v>
      </c>
      <c r="R1162" t="s">
        <v>38</v>
      </c>
      <c r="S1162" t="s">
        <v>42</v>
      </c>
      <c r="T1162" t="s">
        <v>42</v>
      </c>
      <c r="U1162" t="s">
        <v>1130</v>
      </c>
      <c r="V1162" t="s">
        <v>636</v>
      </c>
      <c r="W1162" t="s">
        <v>1130</v>
      </c>
      <c r="X1162" t="s">
        <v>824</v>
      </c>
      <c r="Y1162" t="s">
        <v>989</v>
      </c>
      <c r="Z1162" t="s">
        <v>47</v>
      </c>
      <c r="AA1162"/>
      <c r="AB1162"/>
      <c r="AC1162"/>
      <c r="AD1162" t="s">
        <v>638</v>
      </c>
    </row>
    <row r="1163" spans="1:30">
      <c r="A1163">
        <v>4110010016</v>
      </c>
      <c r="B1163" t="s">
        <v>30</v>
      </c>
      <c r="C1163" t="s">
        <v>88</v>
      </c>
      <c r="D1163" t="s">
        <v>244</v>
      </c>
      <c r="E1163" t="s">
        <v>79</v>
      </c>
      <c r="F1163" t="s">
        <v>286</v>
      </c>
      <c r="G1163" t="s">
        <v>1201</v>
      </c>
      <c r="H1163" t="s">
        <v>35</v>
      </c>
      <c r="I1163" t="s">
        <v>82</v>
      </c>
      <c r="J1163" t="s">
        <v>716</v>
      </c>
      <c r="K1163" t="str">
        <f>"6589"</f>
        <v>0</v>
      </c>
      <c r="L1163">
        <v>67950</v>
      </c>
      <c r="M1163"/>
      <c r="N1163" t="s">
        <v>38</v>
      </c>
      <c r="O1163" t="s">
        <v>38</v>
      </c>
      <c r="P1163" t="s">
        <v>53</v>
      </c>
      <c r="Q1163" t="s">
        <v>38</v>
      </c>
      <c r="R1163" t="s">
        <v>38</v>
      </c>
      <c r="S1163" t="s">
        <v>42</v>
      </c>
      <c r="T1163" t="s">
        <v>42</v>
      </c>
      <c r="U1163" t="s">
        <v>1130</v>
      </c>
      <c r="V1163" t="s">
        <v>1110</v>
      </c>
      <c r="W1163" t="s">
        <v>1130</v>
      </c>
      <c r="X1163" t="s">
        <v>824</v>
      </c>
      <c r="Y1163" t="s">
        <v>1107</v>
      </c>
      <c r="Z1163" t="s">
        <v>47</v>
      </c>
      <c r="AA1163"/>
      <c r="AB1163"/>
      <c r="AC1163"/>
      <c r="AD1163"/>
    </row>
    <row r="1164" spans="1:30">
      <c r="A1164">
        <v>4110020017</v>
      </c>
      <c r="B1164" t="s">
        <v>30</v>
      </c>
      <c r="C1164" t="s">
        <v>88</v>
      </c>
      <c r="D1164" t="s">
        <v>111</v>
      </c>
      <c r="E1164" t="s">
        <v>79</v>
      </c>
      <c r="F1164" t="s">
        <v>286</v>
      </c>
      <c r="G1164" t="s">
        <v>287</v>
      </c>
      <c r="H1164" t="s">
        <v>35</v>
      </c>
      <c r="I1164" t="s">
        <v>82</v>
      </c>
      <c r="J1164" t="s">
        <v>1202</v>
      </c>
      <c r="K1164" t="str">
        <f>"tp 1103"</f>
        <v>0</v>
      </c>
      <c r="L1164">
        <v>67950</v>
      </c>
      <c r="M1164"/>
      <c r="N1164" t="s">
        <v>38</v>
      </c>
      <c r="O1164" t="s">
        <v>38</v>
      </c>
      <c r="P1164" t="s">
        <v>53</v>
      </c>
      <c r="Q1164" t="s">
        <v>38</v>
      </c>
      <c r="R1164" t="s">
        <v>38</v>
      </c>
      <c r="S1164" t="s">
        <v>42</v>
      </c>
      <c r="T1164" t="s">
        <v>42</v>
      </c>
      <c r="U1164" t="s">
        <v>1130</v>
      </c>
      <c r="V1164" t="s">
        <v>1068</v>
      </c>
      <c r="W1164" t="s">
        <v>1130</v>
      </c>
      <c r="X1164" t="s">
        <v>824</v>
      </c>
      <c r="Y1164" t="s">
        <v>1107</v>
      </c>
      <c r="Z1164" t="s">
        <v>47</v>
      </c>
      <c r="AA1164"/>
      <c r="AB1164"/>
      <c r="AC1164"/>
      <c r="AD1164" t="s">
        <v>638</v>
      </c>
    </row>
    <row r="1165" spans="1:30">
      <c r="A1165">
        <v>4110010015</v>
      </c>
      <c r="B1165" t="s">
        <v>30</v>
      </c>
      <c r="C1165" t="s">
        <v>88</v>
      </c>
      <c r="D1165" t="s">
        <v>244</v>
      </c>
      <c r="E1165" t="s">
        <v>72</v>
      </c>
      <c r="F1165" t="s">
        <v>108</v>
      </c>
      <c r="G1165" t="s">
        <v>109</v>
      </c>
      <c r="H1165" t="s">
        <v>50</v>
      </c>
      <c r="I1165" t="s">
        <v>496</v>
      </c>
      <c r="J1165" t="s">
        <v>59</v>
      </c>
      <c r="K1165" t="str">
        <f>"na"</f>
        <v>0</v>
      </c>
      <c r="L1165">
        <v>10000</v>
      </c>
      <c r="M1165"/>
      <c r="N1165" t="s">
        <v>38</v>
      </c>
      <c r="O1165" t="s">
        <v>38</v>
      </c>
      <c r="P1165" t="s">
        <v>53</v>
      </c>
      <c r="Q1165" t="s">
        <v>38</v>
      </c>
      <c r="R1165" t="s">
        <v>38</v>
      </c>
      <c r="S1165" t="s">
        <v>42</v>
      </c>
      <c r="T1165" t="s">
        <v>42</v>
      </c>
      <c r="U1165" t="s">
        <v>1130</v>
      </c>
      <c r="V1165" t="s">
        <v>1110</v>
      </c>
      <c r="W1165" t="s">
        <v>1130</v>
      </c>
      <c r="X1165" t="s">
        <v>824</v>
      </c>
      <c r="Y1165" t="s">
        <v>1107</v>
      </c>
      <c r="Z1165" t="s">
        <v>47</v>
      </c>
      <c r="AA1165"/>
      <c r="AB1165"/>
      <c r="AC1165"/>
      <c r="AD1165"/>
    </row>
    <row r="1166" spans="1:30">
      <c r="A1166">
        <v>4110010018</v>
      </c>
      <c r="B1166" t="s">
        <v>30</v>
      </c>
      <c r="C1166" t="s">
        <v>88</v>
      </c>
      <c r="D1166" t="s">
        <v>244</v>
      </c>
      <c r="E1166" t="s">
        <v>79</v>
      </c>
      <c r="F1166" t="s">
        <v>108</v>
      </c>
      <c r="G1166" t="s">
        <v>109</v>
      </c>
      <c r="H1166" t="s">
        <v>50</v>
      </c>
      <c r="I1166" t="s">
        <v>375</v>
      </c>
      <c r="J1166" t="s">
        <v>59</v>
      </c>
      <c r="K1166" t="str">
        <f>"na"</f>
        <v>0</v>
      </c>
      <c r="L1166">
        <v>10000</v>
      </c>
      <c r="M1166"/>
      <c r="N1166" t="s">
        <v>38</v>
      </c>
      <c r="O1166" t="s">
        <v>38</v>
      </c>
      <c r="P1166" t="s">
        <v>53</v>
      </c>
      <c r="Q1166" t="s">
        <v>38</v>
      </c>
      <c r="R1166" t="s">
        <v>38</v>
      </c>
      <c r="S1166" t="s">
        <v>42</v>
      </c>
      <c r="T1166" t="s">
        <v>42</v>
      </c>
      <c r="U1166" t="s">
        <v>1130</v>
      </c>
      <c r="V1166" t="s">
        <v>1110</v>
      </c>
      <c r="W1166" t="s">
        <v>1130</v>
      </c>
      <c r="X1166" t="s">
        <v>824</v>
      </c>
      <c r="Y1166" t="s">
        <v>1107</v>
      </c>
      <c r="Z1166" t="s">
        <v>47</v>
      </c>
      <c r="AA1166"/>
      <c r="AB1166"/>
      <c r="AC1166"/>
      <c r="AD1166"/>
    </row>
    <row r="1167" spans="1:30">
      <c r="A1167">
        <v>4110020016</v>
      </c>
      <c r="B1167" t="s">
        <v>30</v>
      </c>
      <c r="C1167" t="s">
        <v>88</v>
      </c>
      <c r="D1167" t="s">
        <v>111</v>
      </c>
      <c r="E1167" t="s">
        <v>79</v>
      </c>
      <c r="F1167" t="s">
        <v>108</v>
      </c>
      <c r="G1167" t="s">
        <v>109</v>
      </c>
      <c r="H1167" t="s">
        <v>50</v>
      </c>
      <c r="I1167" t="s">
        <v>496</v>
      </c>
      <c r="J1167" t="s">
        <v>949</v>
      </c>
      <c r="K1167" t="str">
        <f>"n/a"</f>
        <v>0</v>
      </c>
      <c r="L1167">
        <v>10000</v>
      </c>
      <c r="M1167"/>
      <c r="N1167" t="s">
        <v>38</v>
      </c>
      <c r="O1167" t="s">
        <v>38</v>
      </c>
      <c r="P1167" t="s">
        <v>53</v>
      </c>
      <c r="Q1167" t="s">
        <v>38</v>
      </c>
      <c r="R1167" t="s">
        <v>38</v>
      </c>
      <c r="S1167" t="s">
        <v>42</v>
      </c>
      <c r="T1167" t="s">
        <v>42</v>
      </c>
      <c r="U1167" t="s">
        <v>1130</v>
      </c>
      <c r="V1167" t="s">
        <v>1068</v>
      </c>
      <c r="W1167" t="s">
        <v>1130</v>
      </c>
      <c r="X1167" t="s">
        <v>824</v>
      </c>
      <c r="Y1167" t="s">
        <v>1107</v>
      </c>
      <c r="Z1167" t="s">
        <v>47</v>
      </c>
      <c r="AA1167"/>
      <c r="AB1167"/>
      <c r="AC1167"/>
      <c r="AD1167" t="s">
        <v>638</v>
      </c>
    </row>
    <row r="1168" spans="1:30">
      <c r="A1168">
        <v>4110020034</v>
      </c>
      <c r="B1168" t="s">
        <v>30</v>
      </c>
      <c r="C1168" t="s">
        <v>88</v>
      </c>
      <c r="D1168" t="s">
        <v>111</v>
      </c>
      <c r="E1168" t="s">
        <v>112</v>
      </c>
      <c r="F1168" t="s">
        <v>64</v>
      </c>
      <c r="G1168" t="s">
        <v>99</v>
      </c>
      <c r="H1168" t="s">
        <v>50</v>
      </c>
      <c r="I1168" t="s">
        <v>314</v>
      </c>
      <c r="J1168" t="s">
        <v>1191</v>
      </c>
      <c r="K1168" t="str">
        <f>"21g23d401aa011284"</f>
        <v>0</v>
      </c>
      <c r="L1168">
        <v>36000</v>
      </c>
      <c r="M1168"/>
      <c r="N1168" t="s">
        <v>38</v>
      </c>
      <c r="O1168" t="s">
        <v>38</v>
      </c>
      <c r="P1168" t="s">
        <v>53</v>
      </c>
      <c r="Q1168" t="s">
        <v>38</v>
      </c>
      <c r="R1168" t="s">
        <v>38</v>
      </c>
      <c r="S1168" t="s">
        <v>42</v>
      </c>
      <c r="T1168" t="s">
        <v>42</v>
      </c>
      <c r="U1168" t="s">
        <v>1130</v>
      </c>
      <c r="V1168" t="s">
        <v>1068</v>
      </c>
      <c r="W1168" t="s">
        <v>1130</v>
      </c>
      <c r="X1168" t="s">
        <v>824</v>
      </c>
      <c r="Y1168" t="s">
        <v>1130</v>
      </c>
      <c r="Z1168" t="s">
        <v>47</v>
      </c>
      <c r="AA1168"/>
      <c r="AB1168"/>
      <c r="AC1168"/>
      <c r="AD1168"/>
    </row>
    <row r="1169" spans="1:30">
      <c r="A1169">
        <v>3110090041</v>
      </c>
      <c r="B1169" t="s">
        <v>30</v>
      </c>
      <c r="C1169" t="s">
        <v>61</v>
      </c>
      <c r="D1169" t="s">
        <v>133</v>
      </c>
      <c r="E1169" t="s">
        <v>55</v>
      </c>
      <c r="F1169" t="s">
        <v>166</v>
      </c>
      <c r="G1169" t="s">
        <v>167</v>
      </c>
      <c r="H1169" t="s">
        <v>35</v>
      </c>
      <c r="I1169" t="s">
        <v>311</v>
      </c>
      <c r="J1169" t="s">
        <v>1203</v>
      </c>
      <c r="K1169" t="str">
        <f>"de671g1925"</f>
        <v>0</v>
      </c>
      <c r="L1169">
        <v>529100</v>
      </c>
      <c r="M1169"/>
      <c r="N1169" t="s">
        <v>38</v>
      </c>
      <c r="O1169" t="s">
        <v>38</v>
      </c>
      <c r="P1169" t="s">
        <v>53</v>
      </c>
      <c r="Q1169" t="s">
        <v>38</v>
      </c>
      <c r="R1169" t="s">
        <v>38</v>
      </c>
      <c r="S1169" t="s">
        <v>42</v>
      </c>
      <c r="T1169" t="s">
        <v>42</v>
      </c>
      <c r="U1169" t="s">
        <v>1130</v>
      </c>
      <c r="V1169" t="s">
        <v>1022</v>
      </c>
      <c r="W1169" t="s">
        <v>1130</v>
      </c>
      <c r="X1169" t="s">
        <v>824</v>
      </c>
      <c r="Y1169" t="s">
        <v>1023</v>
      </c>
      <c r="Z1169" t="s">
        <v>47</v>
      </c>
      <c r="AA1169"/>
      <c r="AB1169"/>
      <c r="AC1169"/>
      <c r="AD1169"/>
    </row>
    <row r="1170" spans="1:30">
      <c r="A1170">
        <v>3110110026</v>
      </c>
      <c r="B1170" t="s">
        <v>30</v>
      </c>
      <c r="C1170" t="s">
        <v>61</v>
      </c>
      <c r="D1170" t="s">
        <v>62</v>
      </c>
      <c r="E1170" t="s">
        <v>55</v>
      </c>
      <c r="F1170" t="s">
        <v>166</v>
      </c>
      <c r="G1170" t="s">
        <v>167</v>
      </c>
      <c r="H1170" t="s">
        <v>35</v>
      </c>
      <c r="I1170" t="s">
        <v>311</v>
      </c>
      <c r="J1170" t="s">
        <v>487</v>
      </c>
      <c r="K1170" t="str">
        <f>"DE671G1907"</f>
        <v>0</v>
      </c>
      <c r="L1170">
        <v>529100</v>
      </c>
      <c r="M1170"/>
      <c r="N1170" t="s">
        <v>38</v>
      </c>
      <c r="O1170" t="s">
        <v>38</v>
      </c>
      <c r="P1170" t="s">
        <v>53</v>
      </c>
      <c r="Q1170" t="s">
        <v>38</v>
      </c>
      <c r="R1170" t="s">
        <v>38</v>
      </c>
      <c r="S1170" t="s">
        <v>42</v>
      </c>
      <c r="T1170" t="s">
        <v>42</v>
      </c>
      <c r="U1170" t="s">
        <v>1130</v>
      </c>
      <c r="V1170" t="s">
        <v>636</v>
      </c>
      <c r="W1170" t="s">
        <v>1130</v>
      </c>
      <c r="X1170" t="s">
        <v>824</v>
      </c>
      <c r="Y1170" t="s">
        <v>1053</v>
      </c>
      <c r="Z1170" t="s">
        <v>47</v>
      </c>
      <c r="AA1170"/>
      <c r="AB1170"/>
      <c r="AC1170"/>
      <c r="AD1170" t="s">
        <v>638</v>
      </c>
    </row>
    <row r="1171" spans="1:30">
      <c r="A1171">
        <v>3110110050</v>
      </c>
      <c r="B1171" t="s">
        <v>30</v>
      </c>
      <c r="C1171" t="s">
        <v>61</v>
      </c>
      <c r="D1171" t="s">
        <v>62</v>
      </c>
      <c r="E1171" t="s">
        <v>446</v>
      </c>
      <c r="F1171" t="s">
        <v>166</v>
      </c>
      <c r="G1171" t="s">
        <v>167</v>
      </c>
      <c r="H1171" t="s">
        <v>35</v>
      </c>
      <c r="I1171" t="s">
        <v>311</v>
      </c>
      <c r="J1171" t="s">
        <v>487</v>
      </c>
      <c r="K1171" t="str">
        <f>"DE671H1941"</f>
        <v>0</v>
      </c>
      <c r="L1171">
        <v>529100</v>
      </c>
      <c r="M1171"/>
      <c r="N1171" t="s">
        <v>38</v>
      </c>
      <c r="O1171" t="s">
        <v>38</v>
      </c>
      <c r="P1171" t="s">
        <v>53</v>
      </c>
      <c r="Q1171" t="s">
        <v>38</v>
      </c>
      <c r="R1171" t="s">
        <v>38</v>
      </c>
      <c r="S1171" t="s">
        <v>42</v>
      </c>
      <c r="T1171" t="s">
        <v>42</v>
      </c>
      <c r="U1171" t="s">
        <v>1130</v>
      </c>
      <c r="V1171" t="s">
        <v>636</v>
      </c>
      <c r="W1171" t="s">
        <v>1130</v>
      </c>
      <c r="X1171" t="s">
        <v>824</v>
      </c>
      <c r="Y1171" t="s">
        <v>1053</v>
      </c>
      <c r="Z1171" t="s">
        <v>47</v>
      </c>
      <c r="AA1171"/>
      <c r="AB1171"/>
      <c r="AC1171"/>
      <c r="AD1171" t="s">
        <v>638</v>
      </c>
    </row>
    <row r="1172" spans="1:30">
      <c r="A1172">
        <v>3110110051</v>
      </c>
      <c r="B1172" t="s">
        <v>30</v>
      </c>
      <c r="C1172" t="s">
        <v>61</v>
      </c>
      <c r="D1172" t="s">
        <v>62</v>
      </c>
      <c r="E1172" t="s">
        <v>446</v>
      </c>
      <c r="F1172" t="s">
        <v>166</v>
      </c>
      <c r="G1172" t="s">
        <v>167</v>
      </c>
      <c r="H1172" t="s">
        <v>35</v>
      </c>
      <c r="I1172" t="s">
        <v>311</v>
      </c>
      <c r="J1172" t="s">
        <v>487</v>
      </c>
      <c r="K1172" t="str">
        <f>"DE671H1942"</f>
        <v>0</v>
      </c>
      <c r="L1172">
        <v>529100</v>
      </c>
      <c r="M1172"/>
      <c r="N1172" t="s">
        <v>38</v>
      </c>
      <c r="O1172" t="s">
        <v>38</v>
      </c>
      <c r="P1172" t="s">
        <v>53</v>
      </c>
      <c r="Q1172" t="s">
        <v>38</v>
      </c>
      <c r="R1172" t="s">
        <v>38</v>
      </c>
      <c r="S1172" t="s">
        <v>42</v>
      </c>
      <c r="T1172" t="s">
        <v>42</v>
      </c>
      <c r="U1172" t="s">
        <v>1130</v>
      </c>
      <c r="V1172" t="s">
        <v>636</v>
      </c>
      <c r="W1172" t="s">
        <v>1130</v>
      </c>
      <c r="X1172" t="s">
        <v>824</v>
      </c>
      <c r="Y1172" t="s">
        <v>1053</v>
      </c>
      <c r="Z1172" t="s">
        <v>47</v>
      </c>
      <c r="AA1172"/>
      <c r="AB1172"/>
      <c r="AC1172"/>
      <c r="AD1172" t="s">
        <v>638</v>
      </c>
    </row>
    <row r="1173" spans="1:30">
      <c r="A1173">
        <v>3110110052</v>
      </c>
      <c r="B1173" t="s">
        <v>30</v>
      </c>
      <c r="C1173" t="s">
        <v>61</v>
      </c>
      <c r="D1173" t="s">
        <v>62</v>
      </c>
      <c r="E1173" t="s">
        <v>446</v>
      </c>
      <c r="F1173" t="s">
        <v>166</v>
      </c>
      <c r="G1173" t="s">
        <v>167</v>
      </c>
      <c r="H1173" t="s">
        <v>35</v>
      </c>
      <c r="I1173" t="s">
        <v>311</v>
      </c>
      <c r="J1173" t="s">
        <v>487</v>
      </c>
      <c r="K1173" t="str">
        <f>"DE671H1944"</f>
        <v>0</v>
      </c>
      <c r="L1173">
        <v>529100</v>
      </c>
      <c r="M1173"/>
      <c r="N1173" t="s">
        <v>38</v>
      </c>
      <c r="O1173" t="s">
        <v>38</v>
      </c>
      <c r="P1173" t="s">
        <v>53</v>
      </c>
      <c r="Q1173" t="s">
        <v>38</v>
      </c>
      <c r="R1173" t="s">
        <v>38</v>
      </c>
      <c r="S1173" t="s">
        <v>42</v>
      </c>
      <c r="T1173" t="s">
        <v>42</v>
      </c>
      <c r="U1173" t="s">
        <v>1130</v>
      </c>
      <c r="V1173" t="s">
        <v>636</v>
      </c>
      <c r="W1173" t="s">
        <v>1130</v>
      </c>
      <c r="X1173" t="s">
        <v>824</v>
      </c>
      <c r="Y1173" t="s">
        <v>1053</v>
      </c>
      <c r="Z1173" t="s">
        <v>47</v>
      </c>
      <c r="AA1173"/>
      <c r="AB1173"/>
      <c r="AC1173"/>
      <c r="AD1173" t="s">
        <v>638</v>
      </c>
    </row>
    <row r="1174" spans="1:30">
      <c r="A1174">
        <v>3110110053</v>
      </c>
      <c r="B1174" t="s">
        <v>30</v>
      </c>
      <c r="C1174" t="s">
        <v>61</v>
      </c>
      <c r="D1174" t="s">
        <v>62</v>
      </c>
      <c r="E1174" t="s">
        <v>446</v>
      </c>
      <c r="F1174" t="s">
        <v>166</v>
      </c>
      <c r="G1174" t="s">
        <v>167</v>
      </c>
      <c r="H1174" t="s">
        <v>35</v>
      </c>
      <c r="I1174" t="s">
        <v>311</v>
      </c>
      <c r="J1174" t="s">
        <v>487</v>
      </c>
      <c r="K1174" t="str">
        <f>"DE671H1943"</f>
        <v>0</v>
      </c>
      <c r="L1174">
        <v>529100</v>
      </c>
      <c r="M1174"/>
      <c r="N1174" t="s">
        <v>38</v>
      </c>
      <c r="O1174" t="s">
        <v>38</v>
      </c>
      <c r="P1174" t="s">
        <v>53</v>
      </c>
      <c r="Q1174" t="s">
        <v>38</v>
      </c>
      <c r="R1174" t="s">
        <v>38</v>
      </c>
      <c r="S1174" t="s">
        <v>42</v>
      </c>
      <c r="T1174" t="s">
        <v>42</v>
      </c>
      <c r="U1174" t="s">
        <v>1130</v>
      </c>
      <c r="V1174" t="s">
        <v>636</v>
      </c>
      <c r="W1174" t="s">
        <v>1130</v>
      </c>
      <c r="X1174" t="s">
        <v>824</v>
      </c>
      <c r="Y1174" t="s">
        <v>1053</v>
      </c>
      <c r="Z1174" t="s">
        <v>47</v>
      </c>
      <c r="AA1174"/>
      <c r="AB1174"/>
      <c r="AC1174"/>
      <c r="AD1174" t="s">
        <v>638</v>
      </c>
    </row>
    <row r="1175" spans="1:30">
      <c r="A1175">
        <v>3110110054</v>
      </c>
      <c r="B1175" t="s">
        <v>30</v>
      </c>
      <c r="C1175" t="s">
        <v>61</v>
      </c>
      <c r="D1175" t="s">
        <v>62</v>
      </c>
      <c r="E1175" t="s">
        <v>446</v>
      </c>
      <c r="F1175" t="s">
        <v>166</v>
      </c>
      <c r="G1175" t="s">
        <v>167</v>
      </c>
      <c r="H1175" t="s">
        <v>35</v>
      </c>
      <c r="I1175" t="s">
        <v>311</v>
      </c>
      <c r="J1175" t="s">
        <v>487</v>
      </c>
      <c r="K1175" t="str">
        <f>"DE671H1952"</f>
        <v>0</v>
      </c>
      <c r="L1175">
        <v>529100</v>
      </c>
      <c r="M1175"/>
      <c r="N1175" t="s">
        <v>38</v>
      </c>
      <c r="O1175" t="s">
        <v>38</v>
      </c>
      <c r="P1175" t="s">
        <v>53</v>
      </c>
      <c r="Q1175" t="s">
        <v>38</v>
      </c>
      <c r="R1175" t="s">
        <v>38</v>
      </c>
      <c r="S1175" t="s">
        <v>42</v>
      </c>
      <c r="T1175" t="s">
        <v>42</v>
      </c>
      <c r="U1175" t="s">
        <v>1130</v>
      </c>
      <c r="V1175" t="s">
        <v>636</v>
      </c>
      <c r="W1175" t="s">
        <v>1130</v>
      </c>
      <c r="X1175" t="s">
        <v>824</v>
      </c>
      <c r="Y1175" t="s">
        <v>1053</v>
      </c>
      <c r="Z1175" t="s">
        <v>47</v>
      </c>
      <c r="AA1175"/>
      <c r="AB1175"/>
      <c r="AC1175"/>
      <c r="AD1175" t="s">
        <v>638</v>
      </c>
    </row>
    <row r="1176" spans="1:30">
      <c r="A1176">
        <v>3110110055</v>
      </c>
      <c r="B1176" t="s">
        <v>30</v>
      </c>
      <c r="C1176" t="s">
        <v>61</v>
      </c>
      <c r="D1176" t="s">
        <v>62</v>
      </c>
      <c r="E1176" t="s">
        <v>446</v>
      </c>
      <c r="F1176" t="s">
        <v>166</v>
      </c>
      <c r="G1176" t="s">
        <v>167</v>
      </c>
      <c r="H1176" t="s">
        <v>35</v>
      </c>
      <c r="I1176" t="s">
        <v>311</v>
      </c>
      <c r="J1176" t="s">
        <v>487</v>
      </c>
      <c r="K1176" t="str">
        <f>"DE671H1945"</f>
        <v>0</v>
      </c>
      <c r="L1176">
        <v>529100</v>
      </c>
      <c r="M1176"/>
      <c r="N1176" t="s">
        <v>38</v>
      </c>
      <c r="O1176" t="s">
        <v>38</v>
      </c>
      <c r="P1176" t="s">
        <v>53</v>
      </c>
      <c r="Q1176" t="s">
        <v>38</v>
      </c>
      <c r="R1176" t="s">
        <v>38</v>
      </c>
      <c r="S1176" t="s">
        <v>42</v>
      </c>
      <c r="T1176" t="s">
        <v>42</v>
      </c>
      <c r="U1176" t="s">
        <v>1130</v>
      </c>
      <c r="V1176" t="s">
        <v>636</v>
      </c>
      <c r="W1176" t="s">
        <v>1130</v>
      </c>
      <c r="X1176" t="s">
        <v>824</v>
      </c>
      <c r="Y1176" t="s">
        <v>1053</v>
      </c>
      <c r="Z1176" t="s">
        <v>47</v>
      </c>
      <c r="AA1176"/>
      <c r="AB1176"/>
      <c r="AC1176"/>
      <c r="AD1176" t="s">
        <v>638</v>
      </c>
    </row>
    <row r="1177" spans="1:30">
      <c r="A1177">
        <v>4110020035</v>
      </c>
      <c r="B1177" t="s">
        <v>30</v>
      </c>
      <c r="C1177" t="s">
        <v>88</v>
      </c>
      <c r="D1177" t="s">
        <v>111</v>
      </c>
      <c r="E1177" t="s">
        <v>112</v>
      </c>
      <c r="F1177" t="s">
        <v>64</v>
      </c>
      <c r="G1177" t="s">
        <v>99</v>
      </c>
      <c r="H1177" t="s">
        <v>50</v>
      </c>
      <c r="I1177" t="s">
        <v>314</v>
      </c>
      <c r="J1177" t="s">
        <v>1191</v>
      </c>
      <c r="K1177" t="str">
        <f>"21g23d401aa011226"</f>
        <v>0</v>
      </c>
      <c r="L1177">
        <v>36000</v>
      </c>
      <c r="M1177"/>
      <c r="N1177" t="s">
        <v>38</v>
      </c>
      <c r="O1177" t="s">
        <v>38</v>
      </c>
      <c r="P1177" t="s">
        <v>53</v>
      </c>
      <c r="Q1177" t="s">
        <v>38</v>
      </c>
      <c r="R1177" t="s">
        <v>38</v>
      </c>
      <c r="S1177" t="s">
        <v>42</v>
      </c>
      <c r="T1177" t="s">
        <v>42</v>
      </c>
      <c r="U1177" t="s">
        <v>1130</v>
      </c>
      <c r="V1177" t="s">
        <v>1068</v>
      </c>
      <c r="W1177" t="s">
        <v>1130</v>
      </c>
      <c r="X1177" t="s">
        <v>824</v>
      </c>
      <c r="Y1177" t="s">
        <v>1130</v>
      </c>
      <c r="Z1177" t="s">
        <v>47</v>
      </c>
      <c r="AA1177"/>
      <c r="AB1177"/>
      <c r="AC1177"/>
      <c r="AD1177"/>
    </row>
    <row r="1178" spans="1:30">
      <c r="A1178">
        <v>4110030018</v>
      </c>
      <c r="B1178" t="s">
        <v>30</v>
      </c>
      <c r="C1178" t="s">
        <v>88</v>
      </c>
      <c r="D1178" t="s">
        <v>89</v>
      </c>
      <c r="E1178" t="s">
        <v>658</v>
      </c>
      <c r="F1178" t="s">
        <v>166</v>
      </c>
      <c r="G1178" t="s">
        <v>167</v>
      </c>
      <c r="H1178" t="s">
        <v>35</v>
      </c>
      <c r="I1178" t="s">
        <v>375</v>
      </c>
      <c r="J1178" t="s">
        <v>248</v>
      </c>
      <c r="K1178" t="str">
        <f>"l19170418010"</f>
        <v>0</v>
      </c>
      <c r="L1178">
        <v>65000</v>
      </c>
      <c r="M1178"/>
      <c r="N1178" t="s">
        <v>38</v>
      </c>
      <c r="O1178" t="s">
        <v>38</v>
      </c>
      <c r="P1178" t="s">
        <v>53</v>
      </c>
      <c r="Q1178" t="s">
        <v>38</v>
      </c>
      <c r="R1178" t="s">
        <v>38</v>
      </c>
      <c r="S1178" t="s">
        <v>42</v>
      </c>
      <c r="T1178" t="s">
        <v>42</v>
      </c>
      <c r="U1178" t="s">
        <v>1130</v>
      </c>
      <c r="V1178" t="s">
        <v>1068</v>
      </c>
      <c r="W1178" t="s">
        <v>1130</v>
      </c>
      <c r="X1178" t="s">
        <v>824</v>
      </c>
      <c r="Y1178" t="s">
        <v>1089</v>
      </c>
      <c r="Z1178" t="s">
        <v>47</v>
      </c>
      <c r="AA1178"/>
      <c r="AB1178"/>
      <c r="AC1178"/>
      <c r="AD1178" t="s">
        <v>638</v>
      </c>
    </row>
    <row r="1179" spans="1:30">
      <c r="A1179">
        <v>4110020015</v>
      </c>
      <c r="B1179" t="s">
        <v>30</v>
      </c>
      <c r="C1179" t="s">
        <v>88</v>
      </c>
      <c r="D1179" t="s">
        <v>111</v>
      </c>
      <c r="E1179" t="s">
        <v>79</v>
      </c>
      <c r="F1179" t="s">
        <v>166</v>
      </c>
      <c r="G1179" t="s">
        <v>167</v>
      </c>
      <c r="H1179" t="s">
        <v>35</v>
      </c>
      <c r="I1179" t="s">
        <v>375</v>
      </c>
      <c r="J1179" t="s">
        <v>248</v>
      </c>
      <c r="K1179" t="str">
        <f>"l19170925082"</f>
        <v>0</v>
      </c>
      <c r="L1179">
        <v>65000</v>
      </c>
      <c r="M1179"/>
      <c r="N1179" t="s">
        <v>38</v>
      </c>
      <c r="O1179" t="s">
        <v>38</v>
      </c>
      <c r="P1179" t="s">
        <v>53</v>
      </c>
      <c r="Q1179" t="s">
        <v>38</v>
      </c>
      <c r="R1179" t="s">
        <v>38</v>
      </c>
      <c r="S1179" t="s">
        <v>42</v>
      </c>
      <c r="T1179" t="s">
        <v>42</v>
      </c>
      <c r="U1179" t="s">
        <v>1130</v>
      </c>
      <c r="V1179" t="s">
        <v>1068</v>
      </c>
      <c r="W1179" t="s">
        <v>1130</v>
      </c>
      <c r="X1179" t="s">
        <v>824</v>
      </c>
      <c r="Y1179" t="s">
        <v>1107</v>
      </c>
      <c r="Z1179" t="s">
        <v>47</v>
      </c>
      <c r="AA1179"/>
      <c r="AB1179"/>
      <c r="AC1179"/>
      <c r="AD1179" t="s">
        <v>638</v>
      </c>
    </row>
    <row r="1180" spans="1:30">
      <c r="A1180">
        <v>4110020022</v>
      </c>
      <c r="B1180" t="s">
        <v>30</v>
      </c>
      <c r="C1180" t="s">
        <v>88</v>
      </c>
      <c r="D1180" t="s">
        <v>111</v>
      </c>
      <c r="E1180" t="s">
        <v>658</v>
      </c>
      <c r="F1180" t="s">
        <v>166</v>
      </c>
      <c r="G1180" t="s">
        <v>167</v>
      </c>
      <c r="H1180" t="s">
        <v>35</v>
      </c>
      <c r="I1180" t="s">
        <v>375</v>
      </c>
      <c r="J1180" t="s">
        <v>248</v>
      </c>
      <c r="K1180" t="str">
        <f>"L19170925085"</f>
        <v>0</v>
      </c>
      <c r="L1180">
        <v>65000</v>
      </c>
      <c r="M1180"/>
      <c r="N1180" t="s">
        <v>38</v>
      </c>
      <c r="O1180" t="s">
        <v>38</v>
      </c>
      <c r="P1180" t="s">
        <v>53</v>
      </c>
      <c r="Q1180" t="s">
        <v>38</v>
      </c>
      <c r="R1180" t="s">
        <v>38</v>
      </c>
      <c r="S1180" t="s">
        <v>42</v>
      </c>
      <c r="T1180" t="s">
        <v>42</v>
      </c>
      <c r="U1180" t="s">
        <v>1130</v>
      </c>
      <c r="V1180" t="s">
        <v>1068</v>
      </c>
      <c r="W1180" t="s">
        <v>1130</v>
      </c>
      <c r="X1180" t="s">
        <v>824</v>
      </c>
      <c r="Y1180" t="s">
        <v>1107</v>
      </c>
      <c r="Z1180" t="s">
        <v>47</v>
      </c>
      <c r="AA1180"/>
      <c r="AB1180"/>
      <c r="AC1180"/>
      <c r="AD1180" t="s">
        <v>638</v>
      </c>
    </row>
    <row r="1181" spans="1:30">
      <c r="A1181">
        <v>4110030020</v>
      </c>
      <c r="B1181" t="s">
        <v>30</v>
      </c>
      <c r="C1181" t="s">
        <v>88</v>
      </c>
      <c r="D1181" t="s">
        <v>89</v>
      </c>
      <c r="E1181" t="s">
        <v>152</v>
      </c>
      <c r="F1181" t="s">
        <v>56</v>
      </c>
      <c r="G1181" t="s">
        <v>283</v>
      </c>
      <c r="H1181" t="s">
        <v>50</v>
      </c>
      <c r="I1181" t="s">
        <v>375</v>
      </c>
      <c r="J1181" t="s">
        <v>949</v>
      </c>
      <c r="K1181" t="str">
        <f>"n/a"</f>
        <v>0</v>
      </c>
      <c r="L1181">
        <v>10000</v>
      </c>
      <c r="M1181"/>
      <c r="N1181" t="s">
        <v>38</v>
      </c>
      <c r="O1181" t="s">
        <v>38</v>
      </c>
      <c r="P1181" t="s">
        <v>53</v>
      </c>
      <c r="Q1181" t="s">
        <v>38</v>
      </c>
      <c r="R1181" t="s">
        <v>38</v>
      </c>
      <c r="S1181" t="s">
        <v>42</v>
      </c>
      <c r="T1181" t="s">
        <v>42</v>
      </c>
      <c r="U1181" t="s">
        <v>1130</v>
      </c>
      <c r="V1181" t="s">
        <v>1068</v>
      </c>
      <c r="W1181" t="s">
        <v>1130</v>
      </c>
      <c r="X1181" t="s">
        <v>824</v>
      </c>
      <c r="Y1181" t="s">
        <v>1089</v>
      </c>
      <c r="Z1181" t="s">
        <v>47</v>
      </c>
      <c r="AA1181"/>
      <c r="AB1181"/>
      <c r="AC1181"/>
      <c r="AD1181" t="s">
        <v>1126</v>
      </c>
    </row>
    <row r="1182" spans="1:30">
      <c r="A1182">
        <v>4110010009</v>
      </c>
      <c r="B1182" t="s">
        <v>30</v>
      </c>
      <c r="C1182" t="s">
        <v>88</v>
      </c>
      <c r="D1182" t="s">
        <v>244</v>
      </c>
      <c r="E1182" t="s">
        <v>152</v>
      </c>
      <c r="F1182" t="s">
        <v>56</v>
      </c>
      <c r="G1182" t="s">
        <v>178</v>
      </c>
      <c r="H1182" t="s">
        <v>50</v>
      </c>
      <c r="I1182" t="s">
        <v>179</v>
      </c>
      <c r="J1182" t="s">
        <v>59</v>
      </c>
      <c r="K1182" t="str">
        <f>"na"</f>
        <v>0</v>
      </c>
      <c r="L1182">
        <v>126000</v>
      </c>
      <c r="M1182"/>
      <c r="N1182" t="s">
        <v>38</v>
      </c>
      <c r="O1182" t="s">
        <v>38</v>
      </c>
      <c r="P1182" t="s">
        <v>53</v>
      </c>
      <c r="Q1182" t="s">
        <v>38</v>
      </c>
      <c r="R1182" t="s">
        <v>38</v>
      </c>
      <c r="S1182" t="s">
        <v>42</v>
      </c>
      <c r="T1182" t="s">
        <v>42</v>
      </c>
      <c r="U1182" t="s">
        <v>1130</v>
      </c>
      <c r="V1182" t="s">
        <v>1110</v>
      </c>
      <c r="W1182" t="s">
        <v>1130</v>
      </c>
      <c r="X1182" t="s">
        <v>824</v>
      </c>
      <c r="Y1182" t="s">
        <v>1107</v>
      </c>
      <c r="Z1182" t="s">
        <v>47</v>
      </c>
      <c r="AA1182"/>
      <c r="AB1182"/>
      <c r="AC1182"/>
      <c r="AD1182"/>
    </row>
    <row r="1183" spans="1:30">
      <c r="A1183">
        <v>4110020011</v>
      </c>
      <c r="B1183" t="s">
        <v>30</v>
      </c>
      <c r="C1183" t="s">
        <v>88</v>
      </c>
      <c r="D1183" t="s">
        <v>111</v>
      </c>
      <c r="E1183" t="s">
        <v>152</v>
      </c>
      <c r="F1183" t="s">
        <v>56</v>
      </c>
      <c r="G1183" t="s">
        <v>178</v>
      </c>
      <c r="H1183" t="s">
        <v>50</v>
      </c>
      <c r="I1183" t="s">
        <v>179</v>
      </c>
      <c r="J1183" t="s">
        <v>1204</v>
      </c>
      <c r="K1183" t="str">
        <f>"a-pn-21908038"</f>
        <v>0</v>
      </c>
      <c r="L1183">
        <v>126000</v>
      </c>
      <c r="M1183"/>
      <c r="N1183" t="s">
        <v>38</v>
      </c>
      <c r="O1183" t="s">
        <v>38</v>
      </c>
      <c r="P1183" t="s">
        <v>53</v>
      </c>
      <c r="Q1183" t="s">
        <v>38</v>
      </c>
      <c r="R1183" t="s">
        <v>38</v>
      </c>
      <c r="S1183" t="s">
        <v>42</v>
      </c>
      <c r="T1183" t="s">
        <v>42</v>
      </c>
      <c r="U1183" t="s">
        <v>1130</v>
      </c>
      <c r="V1183" t="s">
        <v>1068</v>
      </c>
      <c r="W1183" t="s">
        <v>1130</v>
      </c>
      <c r="X1183" t="s">
        <v>824</v>
      </c>
      <c r="Y1183" t="s">
        <v>1107</v>
      </c>
      <c r="Z1183" t="s">
        <v>47</v>
      </c>
      <c r="AA1183"/>
      <c r="AB1183"/>
      <c r="AC1183"/>
      <c r="AD1183" t="s">
        <v>1126</v>
      </c>
    </row>
    <row r="1184" spans="1:30">
      <c r="A1184">
        <v>4110010023</v>
      </c>
      <c r="B1184" t="s">
        <v>30</v>
      </c>
      <c r="C1184" t="s">
        <v>88</v>
      </c>
      <c r="D1184" t="s">
        <v>244</v>
      </c>
      <c r="E1184" t="s">
        <v>79</v>
      </c>
      <c r="F1184" t="s">
        <v>56</v>
      </c>
      <c r="G1184" t="s">
        <v>283</v>
      </c>
      <c r="H1184" t="s">
        <v>50</v>
      </c>
      <c r="I1184" t="s">
        <v>375</v>
      </c>
      <c r="J1184" t="s">
        <v>315</v>
      </c>
      <c r="K1184" t="str">
        <f>"na"</f>
        <v>0</v>
      </c>
      <c r="L1184">
        <v>10000</v>
      </c>
      <c r="M1184"/>
      <c r="N1184" t="s">
        <v>38</v>
      </c>
      <c r="O1184" t="s">
        <v>38</v>
      </c>
      <c r="P1184" t="s">
        <v>53</v>
      </c>
      <c r="Q1184" t="s">
        <v>38</v>
      </c>
      <c r="R1184" t="s">
        <v>38</v>
      </c>
      <c r="S1184" t="s">
        <v>42</v>
      </c>
      <c r="T1184" t="s">
        <v>42</v>
      </c>
      <c r="U1184" t="s">
        <v>1130</v>
      </c>
      <c r="V1184" t="s">
        <v>1110</v>
      </c>
      <c r="W1184" t="s">
        <v>1130</v>
      </c>
      <c r="X1184" t="s">
        <v>824</v>
      </c>
      <c r="Y1184" t="s">
        <v>1107</v>
      </c>
      <c r="Z1184" t="s">
        <v>47</v>
      </c>
      <c r="AA1184"/>
      <c r="AB1184"/>
      <c r="AC1184"/>
      <c r="AD1184"/>
    </row>
    <row r="1185" spans="1:30">
      <c r="A1185">
        <v>4110020019</v>
      </c>
      <c r="B1185" t="s">
        <v>30</v>
      </c>
      <c r="C1185" t="s">
        <v>88</v>
      </c>
      <c r="D1185" t="s">
        <v>111</v>
      </c>
      <c r="E1185" t="s">
        <v>79</v>
      </c>
      <c r="F1185" t="s">
        <v>56</v>
      </c>
      <c r="G1185" t="s">
        <v>57</v>
      </c>
      <c r="H1185" t="s">
        <v>50</v>
      </c>
      <c r="I1185" t="s">
        <v>58</v>
      </c>
      <c r="J1185" t="s">
        <v>315</v>
      </c>
      <c r="K1185" t="str">
        <f>"n/a"</f>
        <v>0</v>
      </c>
      <c r="L1185">
        <v>72269</v>
      </c>
      <c r="M1185"/>
      <c r="N1185" t="s">
        <v>38</v>
      </c>
      <c r="O1185" t="s">
        <v>38</v>
      </c>
      <c r="P1185" t="s">
        <v>53</v>
      </c>
      <c r="Q1185" t="s">
        <v>38</v>
      </c>
      <c r="R1185" t="s">
        <v>38</v>
      </c>
      <c r="S1185" t="s">
        <v>42</v>
      </c>
      <c r="T1185" t="s">
        <v>42</v>
      </c>
      <c r="U1185" t="s">
        <v>1130</v>
      </c>
      <c r="V1185" t="s">
        <v>1068</v>
      </c>
      <c r="W1185" t="s">
        <v>1130</v>
      </c>
      <c r="X1185" t="s">
        <v>824</v>
      </c>
      <c r="Y1185" t="s">
        <v>1107</v>
      </c>
      <c r="Z1185" t="s">
        <v>47</v>
      </c>
      <c r="AA1185"/>
      <c r="AB1185"/>
      <c r="AC1185"/>
      <c r="AD1185" t="s">
        <v>1126</v>
      </c>
    </row>
    <row r="1186" spans="1:30">
      <c r="A1186">
        <v>4110010026</v>
      </c>
      <c r="B1186" t="s">
        <v>30</v>
      </c>
      <c r="C1186" t="s">
        <v>88</v>
      </c>
      <c r="D1186" t="s">
        <v>244</v>
      </c>
      <c r="E1186" t="s">
        <v>55</v>
      </c>
      <c r="F1186" t="s">
        <v>56</v>
      </c>
      <c r="G1186" t="s">
        <v>57</v>
      </c>
      <c r="H1186" t="s">
        <v>50</v>
      </c>
      <c r="I1186" t="s">
        <v>58</v>
      </c>
      <c r="J1186" t="s">
        <v>315</v>
      </c>
      <c r="K1186" t="str">
        <f>"na"</f>
        <v>0</v>
      </c>
      <c r="L1186">
        <v>72269</v>
      </c>
      <c r="M1186"/>
      <c r="N1186" t="s">
        <v>38</v>
      </c>
      <c r="O1186" t="s">
        <v>38</v>
      </c>
      <c r="P1186" t="s">
        <v>53</v>
      </c>
      <c r="Q1186" t="s">
        <v>38</v>
      </c>
      <c r="R1186" t="s">
        <v>38</v>
      </c>
      <c r="S1186" t="s">
        <v>266</v>
      </c>
      <c r="T1186" t="s">
        <v>266</v>
      </c>
      <c r="U1186" t="s">
        <v>1130</v>
      </c>
      <c r="V1186" t="s">
        <v>1110</v>
      </c>
      <c r="W1186" t="s">
        <v>1130</v>
      </c>
      <c r="X1186" t="s">
        <v>824</v>
      </c>
      <c r="Y1186" t="s">
        <v>1107</v>
      </c>
      <c r="Z1186" t="s">
        <v>70</v>
      </c>
      <c r="AA1186"/>
      <c r="AB1186"/>
      <c r="AC1186"/>
      <c r="AD1186"/>
    </row>
    <row r="1187" spans="1:30">
      <c r="A1187">
        <v>4110010027</v>
      </c>
      <c r="B1187" t="s">
        <v>30</v>
      </c>
      <c r="C1187" t="s">
        <v>88</v>
      </c>
      <c r="D1187" t="s">
        <v>244</v>
      </c>
      <c r="E1187" t="s">
        <v>55</v>
      </c>
      <c r="F1187" t="s">
        <v>56</v>
      </c>
      <c r="G1187" t="s">
        <v>57</v>
      </c>
      <c r="H1187" t="s">
        <v>50</v>
      </c>
      <c r="I1187" t="s">
        <v>58</v>
      </c>
      <c r="J1187" t="s">
        <v>315</v>
      </c>
      <c r="K1187" t="str">
        <f>"na"</f>
        <v>0</v>
      </c>
      <c r="L1187">
        <v>72269</v>
      </c>
      <c r="M1187"/>
      <c r="N1187" t="s">
        <v>38</v>
      </c>
      <c r="O1187" t="s">
        <v>38</v>
      </c>
      <c r="P1187" t="s">
        <v>53</v>
      </c>
      <c r="Q1187" t="s">
        <v>38</v>
      </c>
      <c r="R1187" t="s">
        <v>38</v>
      </c>
      <c r="S1187" t="s">
        <v>266</v>
      </c>
      <c r="T1187" t="s">
        <v>266</v>
      </c>
      <c r="U1187" t="s">
        <v>1130</v>
      </c>
      <c r="V1187" t="s">
        <v>1110</v>
      </c>
      <c r="W1187" t="s">
        <v>1130</v>
      </c>
      <c r="X1187" t="s">
        <v>824</v>
      </c>
      <c r="Y1187" t="s">
        <v>1107</v>
      </c>
      <c r="Z1187" t="s">
        <v>70</v>
      </c>
      <c r="AA1187"/>
      <c r="AB1187"/>
      <c r="AC1187"/>
      <c r="AD1187"/>
    </row>
    <row r="1188" spans="1:30">
      <c r="A1188">
        <v>4110010028</v>
      </c>
      <c r="B1188" t="s">
        <v>30</v>
      </c>
      <c r="C1188" t="s">
        <v>88</v>
      </c>
      <c r="D1188" t="s">
        <v>244</v>
      </c>
      <c r="E1188" t="s">
        <v>55</v>
      </c>
      <c r="F1188" t="s">
        <v>56</v>
      </c>
      <c r="G1188" t="s">
        <v>283</v>
      </c>
      <c r="H1188" t="s">
        <v>50</v>
      </c>
      <c r="I1188" t="s">
        <v>375</v>
      </c>
      <c r="J1188" t="s">
        <v>59</v>
      </c>
      <c r="K1188" t="str">
        <f>"na"</f>
        <v>0</v>
      </c>
      <c r="L1188">
        <v>10000</v>
      </c>
      <c r="M1188"/>
      <c r="N1188" t="s">
        <v>38</v>
      </c>
      <c r="O1188" t="s">
        <v>38</v>
      </c>
      <c r="P1188" t="s">
        <v>53</v>
      </c>
      <c r="Q1188" t="s">
        <v>38</v>
      </c>
      <c r="R1188" t="s">
        <v>38</v>
      </c>
      <c r="S1188" t="s">
        <v>42</v>
      </c>
      <c r="T1188" t="s">
        <v>42</v>
      </c>
      <c r="U1188" t="s">
        <v>1130</v>
      </c>
      <c r="V1188" t="s">
        <v>1110</v>
      </c>
      <c r="W1188" t="s">
        <v>1130</v>
      </c>
      <c r="X1188" t="s">
        <v>824</v>
      </c>
      <c r="Y1188" t="s">
        <v>1107</v>
      </c>
      <c r="Z1188" t="s">
        <v>47</v>
      </c>
      <c r="AA1188"/>
      <c r="AB1188"/>
      <c r="AC1188"/>
      <c r="AD1188"/>
    </row>
    <row r="1189" spans="1:30">
      <c r="A1189">
        <v>4110010040</v>
      </c>
      <c r="B1189" t="s">
        <v>30</v>
      </c>
      <c r="C1189" t="s">
        <v>88</v>
      </c>
      <c r="D1189" t="s">
        <v>244</v>
      </c>
      <c r="E1189" t="s">
        <v>55</v>
      </c>
      <c r="F1189" t="s">
        <v>94</v>
      </c>
      <c r="G1189" t="s">
        <v>95</v>
      </c>
      <c r="H1189" t="s">
        <v>35</v>
      </c>
      <c r="I1189" t="s">
        <v>82</v>
      </c>
      <c r="J1189" t="s">
        <v>1180</v>
      </c>
      <c r="K1189" t="str">
        <f>"14556"</f>
        <v>0</v>
      </c>
      <c r="L1189">
        <v>69636</v>
      </c>
      <c r="M1189"/>
      <c r="N1189" t="s">
        <v>38</v>
      </c>
      <c r="O1189" t="s">
        <v>38</v>
      </c>
      <c r="P1189" t="s">
        <v>53</v>
      </c>
      <c r="Q1189" t="s">
        <v>38</v>
      </c>
      <c r="R1189" t="s">
        <v>38</v>
      </c>
      <c r="S1189" t="s">
        <v>42</v>
      </c>
      <c r="T1189" t="s">
        <v>42</v>
      </c>
      <c r="U1189" t="s">
        <v>1107</v>
      </c>
      <c r="V1189" t="s">
        <v>1110</v>
      </c>
      <c r="W1189" t="s">
        <v>1107</v>
      </c>
      <c r="X1189" t="s">
        <v>824</v>
      </c>
      <c r="Y1189" t="s">
        <v>1107</v>
      </c>
      <c r="Z1189" t="s">
        <v>47</v>
      </c>
      <c r="AA1189"/>
      <c r="AB1189"/>
      <c r="AC1189"/>
      <c r="AD1189"/>
    </row>
    <row r="1190" spans="1:30">
      <c r="A1190">
        <v>4110010042</v>
      </c>
      <c r="B1190" t="s">
        <v>30</v>
      </c>
      <c r="C1190" t="s">
        <v>88</v>
      </c>
      <c r="D1190" t="s">
        <v>244</v>
      </c>
      <c r="E1190" t="s">
        <v>55</v>
      </c>
      <c r="F1190" t="s">
        <v>94</v>
      </c>
      <c r="G1190" t="s">
        <v>95</v>
      </c>
      <c r="H1190" t="s">
        <v>35</v>
      </c>
      <c r="I1190" t="s">
        <v>82</v>
      </c>
      <c r="J1190" t="s">
        <v>625</v>
      </c>
      <c r="K1190" t="str">
        <f>"na"</f>
        <v>0</v>
      </c>
      <c r="L1190">
        <v>69636</v>
      </c>
      <c r="M1190"/>
      <c r="N1190" t="s">
        <v>38</v>
      </c>
      <c r="O1190" t="s">
        <v>38</v>
      </c>
      <c r="P1190" t="s">
        <v>53</v>
      </c>
      <c r="Q1190" t="s">
        <v>38</v>
      </c>
      <c r="R1190" t="s">
        <v>38</v>
      </c>
      <c r="S1190" t="s">
        <v>42</v>
      </c>
      <c r="T1190" t="s">
        <v>42</v>
      </c>
      <c r="U1190" t="s">
        <v>1107</v>
      </c>
      <c r="V1190" t="s">
        <v>1110</v>
      </c>
      <c r="W1190" t="s">
        <v>1107</v>
      </c>
      <c r="X1190" t="s">
        <v>824</v>
      </c>
      <c r="Y1190" t="s">
        <v>1107</v>
      </c>
      <c r="Z1190" t="s">
        <v>47</v>
      </c>
      <c r="AA1190"/>
      <c r="AB1190"/>
      <c r="AC1190"/>
      <c r="AD1190"/>
    </row>
    <row r="1191" spans="1:30">
      <c r="A1191">
        <v>4110010017</v>
      </c>
      <c r="B1191" t="s">
        <v>30</v>
      </c>
      <c r="C1191" t="s">
        <v>88</v>
      </c>
      <c r="D1191" t="s">
        <v>244</v>
      </c>
      <c r="E1191" t="s">
        <v>79</v>
      </c>
      <c r="F1191" t="s">
        <v>94</v>
      </c>
      <c r="G1191" t="s">
        <v>95</v>
      </c>
      <c r="H1191" t="s">
        <v>35</v>
      </c>
      <c r="I1191" t="s">
        <v>82</v>
      </c>
      <c r="J1191" t="s">
        <v>625</v>
      </c>
      <c r="K1191" t="str">
        <f>"5974"</f>
        <v>0</v>
      </c>
      <c r="L1191">
        <v>69636</v>
      </c>
      <c r="M1191"/>
      <c r="N1191" t="s">
        <v>38</v>
      </c>
      <c r="O1191" t="s">
        <v>38</v>
      </c>
      <c r="P1191" t="s">
        <v>53</v>
      </c>
      <c r="Q1191" t="s">
        <v>38</v>
      </c>
      <c r="R1191" t="s">
        <v>38</v>
      </c>
      <c r="S1191" t="s">
        <v>42</v>
      </c>
      <c r="T1191" t="s">
        <v>42</v>
      </c>
      <c r="U1191" t="s">
        <v>1107</v>
      </c>
      <c r="V1191" t="s">
        <v>1110</v>
      </c>
      <c r="W1191" t="s">
        <v>1107</v>
      </c>
      <c r="X1191" t="s">
        <v>824</v>
      </c>
      <c r="Y1191" t="s">
        <v>1107</v>
      </c>
      <c r="Z1191" t="s">
        <v>47</v>
      </c>
      <c r="AA1191"/>
      <c r="AB1191"/>
      <c r="AC1191"/>
      <c r="AD1191"/>
    </row>
    <row r="1192" spans="1:30">
      <c r="A1192">
        <v>4110020014</v>
      </c>
      <c r="B1192" t="s">
        <v>30</v>
      </c>
      <c r="C1192" t="s">
        <v>88</v>
      </c>
      <c r="D1192" t="s">
        <v>111</v>
      </c>
      <c r="E1192" t="s">
        <v>79</v>
      </c>
      <c r="F1192" t="s">
        <v>94</v>
      </c>
      <c r="G1192" t="s">
        <v>95</v>
      </c>
      <c r="H1192" t="s">
        <v>35</v>
      </c>
      <c r="I1192" t="s">
        <v>82</v>
      </c>
      <c r="J1192" t="s">
        <v>625</v>
      </c>
      <c r="K1192" t="str">
        <f>"tp 1496"</f>
        <v>0</v>
      </c>
      <c r="L1192">
        <v>69636</v>
      </c>
      <c r="M1192"/>
      <c r="N1192" t="s">
        <v>38</v>
      </c>
      <c r="O1192" t="s">
        <v>38</v>
      </c>
      <c r="P1192" t="s">
        <v>53</v>
      </c>
      <c r="Q1192" t="s">
        <v>38</v>
      </c>
      <c r="R1192" t="s">
        <v>38</v>
      </c>
      <c r="S1192" t="s">
        <v>42</v>
      </c>
      <c r="T1192" t="s">
        <v>42</v>
      </c>
      <c r="U1192" t="s">
        <v>1107</v>
      </c>
      <c r="V1192" t="s">
        <v>1068</v>
      </c>
      <c r="W1192" t="s">
        <v>1107</v>
      </c>
      <c r="X1192" t="s">
        <v>824</v>
      </c>
      <c r="Y1192" t="s">
        <v>1107</v>
      </c>
      <c r="Z1192" t="s">
        <v>47</v>
      </c>
      <c r="AA1192"/>
      <c r="AB1192"/>
      <c r="AC1192"/>
      <c r="AD1192" t="s">
        <v>638</v>
      </c>
    </row>
    <row r="1193" spans="1:30">
      <c r="A1193">
        <v>4110010030</v>
      </c>
      <c r="B1193" t="s">
        <v>30</v>
      </c>
      <c r="C1193" t="s">
        <v>88</v>
      </c>
      <c r="D1193" t="s">
        <v>244</v>
      </c>
      <c r="E1193" t="s">
        <v>55</v>
      </c>
      <c r="F1193" t="s">
        <v>387</v>
      </c>
      <c r="G1193" t="s">
        <v>388</v>
      </c>
      <c r="H1193" t="s">
        <v>50</v>
      </c>
      <c r="I1193" t="s">
        <v>375</v>
      </c>
      <c r="J1193" t="s">
        <v>59</v>
      </c>
      <c r="K1193" t="str">
        <f>"na"</f>
        <v>0</v>
      </c>
      <c r="L1193">
        <v>60000</v>
      </c>
      <c r="M1193"/>
      <c r="N1193" t="s">
        <v>38</v>
      </c>
      <c r="O1193" t="s">
        <v>38</v>
      </c>
      <c r="P1193" t="s">
        <v>53</v>
      </c>
      <c r="Q1193" t="s">
        <v>38</v>
      </c>
      <c r="R1193" t="s">
        <v>38</v>
      </c>
      <c r="S1193" t="s">
        <v>42</v>
      </c>
      <c r="T1193" t="s">
        <v>42</v>
      </c>
      <c r="U1193" t="s">
        <v>1107</v>
      </c>
      <c r="V1193" t="s">
        <v>1110</v>
      </c>
      <c r="W1193" t="s">
        <v>1107</v>
      </c>
      <c r="X1193" t="s">
        <v>824</v>
      </c>
      <c r="Y1193" t="s">
        <v>1107</v>
      </c>
      <c r="Z1193" t="s">
        <v>47</v>
      </c>
      <c r="AA1193"/>
      <c r="AB1193"/>
      <c r="AC1193"/>
      <c r="AD1193"/>
    </row>
    <row r="1194" spans="1:30">
      <c r="A1194">
        <v>3110100012</v>
      </c>
      <c r="B1194" t="s">
        <v>30</v>
      </c>
      <c r="C1194" t="s">
        <v>61</v>
      </c>
      <c r="D1194" t="s">
        <v>71</v>
      </c>
      <c r="E1194" t="s">
        <v>55</v>
      </c>
      <c r="F1194" t="s">
        <v>94</v>
      </c>
      <c r="G1194" t="s">
        <v>95</v>
      </c>
      <c r="H1194" t="s">
        <v>35</v>
      </c>
      <c r="I1194" t="s">
        <v>82</v>
      </c>
      <c r="J1194" t="s">
        <v>929</v>
      </c>
      <c r="K1194" t="str">
        <f>"14502"</f>
        <v>0</v>
      </c>
      <c r="L1194">
        <v>69636</v>
      </c>
      <c r="M1194"/>
      <c r="N1194" t="s">
        <v>38</v>
      </c>
      <c r="O1194" t="s">
        <v>38</v>
      </c>
      <c r="P1194" t="s">
        <v>53</v>
      </c>
      <c r="Q1194" t="s">
        <v>38</v>
      </c>
      <c r="R1194" t="s">
        <v>38</v>
      </c>
      <c r="S1194" t="s">
        <v>42</v>
      </c>
      <c r="T1194" t="s">
        <v>42</v>
      </c>
      <c r="U1194" t="s">
        <v>1107</v>
      </c>
      <c r="V1194" t="s">
        <v>925</v>
      </c>
      <c r="W1194" t="s">
        <v>1107</v>
      </c>
      <c r="X1194" t="s">
        <v>824</v>
      </c>
      <c r="Y1194" t="s">
        <v>926</v>
      </c>
      <c r="Z1194" t="s">
        <v>47</v>
      </c>
      <c r="AA1194"/>
      <c r="AB1194"/>
      <c r="AC1194"/>
      <c r="AD1194"/>
    </row>
    <row r="1195" spans="1:30">
      <c r="A1195">
        <v>3110100049</v>
      </c>
      <c r="B1195" t="s">
        <v>30</v>
      </c>
      <c r="C1195" t="s">
        <v>61</v>
      </c>
      <c r="D1195" t="s">
        <v>71</v>
      </c>
      <c r="E1195" t="s">
        <v>79</v>
      </c>
      <c r="F1195" t="s">
        <v>94</v>
      </c>
      <c r="G1195" t="s">
        <v>95</v>
      </c>
      <c r="H1195" t="s">
        <v>35</v>
      </c>
      <c r="I1195" t="s">
        <v>82</v>
      </c>
      <c r="J1195" t="s">
        <v>929</v>
      </c>
      <c r="K1195" t="str">
        <f>"tp 1074"</f>
        <v>0</v>
      </c>
      <c r="L1195">
        <v>69636</v>
      </c>
      <c r="M1195"/>
      <c r="N1195" t="s">
        <v>38</v>
      </c>
      <c r="O1195" t="s">
        <v>38</v>
      </c>
      <c r="P1195" t="s">
        <v>53</v>
      </c>
      <c r="Q1195" t="s">
        <v>38</v>
      </c>
      <c r="R1195" t="s">
        <v>38</v>
      </c>
      <c r="S1195" t="s">
        <v>42</v>
      </c>
      <c r="T1195" t="s">
        <v>42</v>
      </c>
      <c r="U1195" t="s">
        <v>1107</v>
      </c>
      <c r="V1195" t="s">
        <v>925</v>
      </c>
      <c r="W1195" t="s">
        <v>1107</v>
      </c>
      <c r="X1195" t="s">
        <v>824</v>
      </c>
      <c r="Y1195" t="s">
        <v>926</v>
      </c>
      <c r="Z1195" t="s">
        <v>47</v>
      </c>
      <c r="AA1195"/>
      <c r="AB1195"/>
      <c r="AC1195"/>
      <c r="AD1195"/>
    </row>
    <row r="1196" spans="1:30">
      <c r="A1196">
        <v>3110100059</v>
      </c>
      <c r="B1196" t="s">
        <v>30</v>
      </c>
      <c r="C1196" t="s">
        <v>61</v>
      </c>
      <c r="D1196" t="s">
        <v>71</v>
      </c>
      <c r="E1196" t="s">
        <v>79</v>
      </c>
      <c r="F1196" t="s">
        <v>94</v>
      </c>
      <c r="G1196" t="s">
        <v>95</v>
      </c>
      <c r="H1196" t="s">
        <v>35</v>
      </c>
      <c r="I1196" t="s">
        <v>82</v>
      </c>
      <c r="J1196" t="s">
        <v>526</v>
      </c>
      <c r="K1196" t="str">
        <f>"tp 1075"</f>
        <v>0</v>
      </c>
      <c r="L1196">
        <v>69636</v>
      </c>
      <c r="M1196"/>
      <c r="N1196" t="s">
        <v>38</v>
      </c>
      <c r="O1196" t="s">
        <v>38</v>
      </c>
      <c r="P1196" t="s">
        <v>53</v>
      </c>
      <c r="Q1196" t="s">
        <v>38</v>
      </c>
      <c r="R1196" t="s">
        <v>38</v>
      </c>
      <c r="S1196" t="s">
        <v>42</v>
      </c>
      <c r="T1196" t="s">
        <v>42</v>
      </c>
      <c r="U1196" t="s">
        <v>1107</v>
      </c>
      <c r="V1196" t="s">
        <v>925</v>
      </c>
      <c r="W1196" t="s">
        <v>1107</v>
      </c>
      <c r="X1196" t="s">
        <v>824</v>
      </c>
      <c r="Y1196" t="s">
        <v>926</v>
      </c>
      <c r="Z1196" t="s">
        <v>47</v>
      </c>
      <c r="AA1196"/>
      <c r="AB1196"/>
      <c r="AC1196"/>
      <c r="AD1196"/>
    </row>
    <row r="1197" spans="1:30">
      <c r="A1197">
        <v>3110100092</v>
      </c>
      <c r="B1197" t="s">
        <v>30</v>
      </c>
      <c r="C1197" t="s">
        <v>61</v>
      </c>
      <c r="D1197" t="s">
        <v>71</v>
      </c>
      <c r="E1197" t="s">
        <v>72</v>
      </c>
      <c r="F1197" t="s">
        <v>94</v>
      </c>
      <c r="G1197" t="s">
        <v>95</v>
      </c>
      <c r="H1197" t="s">
        <v>35</v>
      </c>
      <c r="I1197" t="s">
        <v>82</v>
      </c>
      <c r="J1197" t="s">
        <v>1178</v>
      </c>
      <c r="K1197" t="str">
        <f>"14509"</f>
        <v>0</v>
      </c>
      <c r="L1197">
        <v>69636</v>
      </c>
      <c r="M1197"/>
      <c r="N1197" t="s">
        <v>38</v>
      </c>
      <c r="O1197" t="s">
        <v>38</v>
      </c>
      <c r="P1197" t="s">
        <v>53</v>
      </c>
      <c r="Q1197" t="s">
        <v>38</v>
      </c>
      <c r="R1197" t="s">
        <v>38</v>
      </c>
      <c r="S1197" t="s">
        <v>42</v>
      </c>
      <c r="T1197" t="s">
        <v>42</v>
      </c>
      <c r="U1197" t="s">
        <v>1107</v>
      </c>
      <c r="V1197" t="s">
        <v>925</v>
      </c>
      <c r="W1197" t="s">
        <v>1107</v>
      </c>
      <c r="X1197" t="s">
        <v>824</v>
      </c>
      <c r="Y1197" t="s">
        <v>926</v>
      </c>
      <c r="Z1197" t="s">
        <v>47</v>
      </c>
      <c r="AA1197"/>
      <c r="AB1197"/>
      <c r="AC1197" t="s">
        <v>1205</v>
      </c>
      <c r="AD1197"/>
    </row>
    <row r="1198" spans="1:30">
      <c r="A1198">
        <v>4110040037</v>
      </c>
      <c r="B1198" t="s">
        <v>30</v>
      </c>
      <c r="C1198" t="s">
        <v>88</v>
      </c>
      <c r="D1198" t="s">
        <v>222</v>
      </c>
      <c r="E1198" t="s">
        <v>79</v>
      </c>
      <c r="F1198" t="s">
        <v>94</v>
      </c>
      <c r="G1198" t="s">
        <v>95</v>
      </c>
      <c r="H1198" t="s">
        <v>35</v>
      </c>
      <c r="I1198" t="s">
        <v>82</v>
      </c>
      <c r="J1198" t="s">
        <v>1206</v>
      </c>
      <c r="K1198" t="str">
        <f>"14554"</f>
        <v>0</v>
      </c>
      <c r="L1198">
        <v>69636</v>
      </c>
      <c r="M1198"/>
      <c r="N1198" t="s">
        <v>38</v>
      </c>
      <c r="O1198" t="s">
        <v>38</v>
      </c>
      <c r="P1198" t="s">
        <v>53</v>
      </c>
      <c r="Q1198" t="s">
        <v>38</v>
      </c>
      <c r="R1198" t="s">
        <v>38</v>
      </c>
      <c r="S1198" t="s">
        <v>42</v>
      </c>
      <c r="T1198" t="s">
        <v>42</v>
      </c>
      <c r="U1198" t="s">
        <v>1089</v>
      </c>
      <c r="V1198" t="s">
        <v>636</v>
      </c>
      <c r="W1198" t="s">
        <v>1089</v>
      </c>
      <c r="X1198" t="s">
        <v>824</v>
      </c>
      <c r="Y1198" t="s">
        <v>965</v>
      </c>
      <c r="Z1198" t="s">
        <v>47</v>
      </c>
      <c r="AA1198"/>
      <c r="AB1198"/>
      <c r="AC1198"/>
      <c r="AD1198" t="s">
        <v>638</v>
      </c>
    </row>
    <row r="1199" spans="1:30">
      <c r="A1199">
        <v>4110040044</v>
      </c>
      <c r="B1199" t="s">
        <v>30</v>
      </c>
      <c r="C1199" t="s">
        <v>88</v>
      </c>
      <c r="D1199" t="s">
        <v>222</v>
      </c>
      <c r="E1199" t="s">
        <v>79</v>
      </c>
      <c r="F1199" t="s">
        <v>94</v>
      </c>
      <c r="G1199" t="s">
        <v>95</v>
      </c>
      <c r="H1199" t="s">
        <v>35</v>
      </c>
      <c r="I1199" t="s">
        <v>1207</v>
      </c>
      <c r="J1199" t="s">
        <v>59</v>
      </c>
      <c r="K1199" t="str">
        <f>"na"</f>
        <v>0</v>
      </c>
      <c r="L1199">
        <v>60000</v>
      </c>
      <c r="M1199"/>
      <c r="N1199" t="s">
        <v>38</v>
      </c>
      <c r="O1199" t="s">
        <v>38</v>
      </c>
      <c r="P1199" t="s">
        <v>53</v>
      </c>
      <c r="Q1199" t="s">
        <v>38</v>
      </c>
      <c r="R1199" t="s">
        <v>38</v>
      </c>
      <c r="S1199" t="s">
        <v>42</v>
      </c>
      <c r="T1199" t="s">
        <v>42</v>
      </c>
      <c r="U1199" t="s">
        <v>1089</v>
      </c>
      <c r="V1199" t="s">
        <v>636</v>
      </c>
      <c r="W1199" t="s">
        <v>1089</v>
      </c>
      <c r="X1199" t="s">
        <v>824</v>
      </c>
      <c r="Y1199" t="s">
        <v>965</v>
      </c>
      <c r="Z1199" t="s">
        <v>47</v>
      </c>
      <c r="AA1199"/>
      <c r="AB1199"/>
      <c r="AC1199"/>
      <c r="AD1199" t="s">
        <v>710</v>
      </c>
    </row>
    <row r="1200" spans="1:30">
      <c r="A1200">
        <v>3110100131</v>
      </c>
      <c r="B1200" t="s">
        <v>30</v>
      </c>
      <c r="C1200" t="s">
        <v>61</v>
      </c>
      <c r="D1200" t="s">
        <v>71</v>
      </c>
      <c r="E1200" t="s">
        <v>1208</v>
      </c>
      <c r="F1200" t="s">
        <v>94</v>
      </c>
      <c r="G1200" t="s">
        <v>95</v>
      </c>
      <c r="H1200" t="s">
        <v>35</v>
      </c>
      <c r="I1200" t="s">
        <v>82</v>
      </c>
      <c r="J1200" t="s">
        <v>1206</v>
      </c>
      <c r="K1200" t="str">
        <f>"14508"</f>
        <v>0</v>
      </c>
      <c r="L1200">
        <v>69636</v>
      </c>
      <c r="M1200"/>
      <c r="N1200" t="s">
        <v>38</v>
      </c>
      <c r="O1200" t="s">
        <v>38</v>
      </c>
      <c r="P1200" t="s">
        <v>53</v>
      </c>
      <c r="Q1200" t="s">
        <v>38</v>
      </c>
      <c r="R1200" t="s">
        <v>38</v>
      </c>
      <c r="S1200" t="s">
        <v>42</v>
      </c>
      <c r="T1200" t="s">
        <v>42</v>
      </c>
      <c r="U1200" t="s">
        <v>1089</v>
      </c>
      <c r="V1200" t="s">
        <v>636</v>
      </c>
      <c r="W1200" t="s">
        <v>1089</v>
      </c>
      <c r="X1200" t="s">
        <v>824</v>
      </c>
      <c r="Y1200" t="s">
        <v>989</v>
      </c>
      <c r="Z1200" t="s">
        <v>47</v>
      </c>
      <c r="AA1200"/>
      <c r="AB1200"/>
      <c r="AC1200"/>
      <c r="AD1200" t="s">
        <v>638</v>
      </c>
    </row>
    <row r="1201" spans="1:30">
      <c r="A1201">
        <v>3110100132</v>
      </c>
      <c r="B1201" t="s">
        <v>30</v>
      </c>
      <c r="C1201" t="s">
        <v>61</v>
      </c>
      <c r="D1201" t="s">
        <v>71</v>
      </c>
      <c r="E1201" t="s">
        <v>1208</v>
      </c>
      <c r="F1201" t="s">
        <v>94</v>
      </c>
      <c r="G1201" t="s">
        <v>95</v>
      </c>
      <c r="H1201" t="s">
        <v>35</v>
      </c>
      <c r="I1201" t="s">
        <v>82</v>
      </c>
      <c r="J1201" t="s">
        <v>1206</v>
      </c>
      <c r="K1201" t="str">
        <f>"14507"</f>
        <v>0</v>
      </c>
      <c r="L1201">
        <v>69636</v>
      </c>
      <c r="M1201"/>
      <c r="N1201" t="s">
        <v>38</v>
      </c>
      <c r="O1201" t="s">
        <v>38</v>
      </c>
      <c r="P1201" t="s">
        <v>53</v>
      </c>
      <c r="Q1201" t="s">
        <v>38</v>
      </c>
      <c r="R1201" t="s">
        <v>38</v>
      </c>
      <c r="S1201" t="s">
        <v>42</v>
      </c>
      <c r="T1201" t="s">
        <v>42</v>
      </c>
      <c r="U1201" t="s">
        <v>1089</v>
      </c>
      <c r="V1201" t="s">
        <v>636</v>
      </c>
      <c r="W1201" t="s">
        <v>1089</v>
      </c>
      <c r="X1201" t="s">
        <v>824</v>
      </c>
      <c r="Y1201" t="s">
        <v>989</v>
      </c>
      <c r="Z1201" t="s">
        <v>47</v>
      </c>
      <c r="AA1201"/>
      <c r="AB1201"/>
      <c r="AC1201"/>
      <c r="AD1201" t="s">
        <v>638</v>
      </c>
    </row>
    <row r="1202" spans="1:30">
      <c r="A1202">
        <v>3110100133</v>
      </c>
      <c r="B1202" t="s">
        <v>30</v>
      </c>
      <c r="C1202" t="s">
        <v>61</v>
      </c>
      <c r="D1202" t="s">
        <v>71</v>
      </c>
      <c r="E1202" t="s">
        <v>1208</v>
      </c>
      <c r="F1202" t="s">
        <v>94</v>
      </c>
      <c r="G1202" t="s">
        <v>95</v>
      </c>
      <c r="H1202" t="s">
        <v>35</v>
      </c>
      <c r="I1202" t="s">
        <v>82</v>
      </c>
      <c r="J1202" t="s">
        <v>1206</v>
      </c>
      <c r="K1202" t="str">
        <f>"14503"</f>
        <v>0</v>
      </c>
      <c r="L1202">
        <v>69636</v>
      </c>
      <c r="M1202"/>
      <c r="N1202" t="s">
        <v>38</v>
      </c>
      <c r="O1202" t="s">
        <v>38</v>
      </c>
      <c r="P1202" t="s">
        <v>53</v>
      </c>
      <c r="Q1202" t="s">
        <v>38</v>
      </c>
      <c r="R1202" t="s">
        <v>38</v>
      </c>
      <c r="S1202" t="s">
        <v>42</v>
      </c>
      <c r="T1202" t="s">
        <v>42</v>
      </c>
      <c r="U1202" t="s">
        <v>1089</v>
      </c>
      <c r="V1202" t="s">
        <v>636</v>
      </c>
      <c r="W1202" t="s">
        <v>1089</v>
      </c>
      <c r="X1202" t="s">
        <v>824</v>
      </c>
      <c r="Y1202" t="s">
        <v>989</v>
      </c>
      <c r="Z1202" t="s">
        <v>47</v>
      </c>
      <c r="AA1202"/>
      <c r="AB1202"/>
      <c r="AC1202"/>
      <c r="AD1202" t="s">
        <v>638</v>
      </c>
    </row>
    <row r="1203" spans="1:30">
      <c r="A1203">
        <v>3110090037</v>
      </c>
      <c r="B1203" t="s">
        <v>30</v>
      </c>
      <c r="C1203" t="s">
        <v>61</v>
      </c>
      <c r="D1203" t="s">
        <v>133</v>
      </c>
      <c r="E1203" t="s">
        <v>55</v>
      </c>
      <c r="F1203" t="s">
        <v>94</v>
      </c>
      <c r="G1203" t="s">
        <v>95</v>
      </c>
      <c r="H1203" t="s">
        <v>35</v>
      </c>
      <c r="I1203" t="s">
        <v>82</v>
      </c>
      <c r="J1203" t="s">
        <v>315</v>
      </c>
      <c r="K1203" t="str">
        <f>"tp 1078"</f>
        <v>0</v>
      </c>
      <c r="L1203">
        <v>69636</v>
      </c>
      <c r="M1203"/>
      <c r="N1203" t="s">
        <v>38</v>
      </c>
      <c r="O1203" t="s">
        <v>38</v>
      </c>
      <c r="P1203" t="s">
        <v>53</v>
      </c>
      <c r="Q1203" t="s">
        <v>38</v>
      </c>
      <c r="R1203" t="s">
        <v>38</v>
      </c>
      <c r="S1203" t="s">
        <v>42</v>
      </c>
      <c r="T1203" t="s">
        <v>42</v>
      </c>
      <c r="U1203" t="s">
        <v>1089</v>
      </c>
      <c r="V1203" t="s">
        <v>1022</v>
      </c>
      <c r="W1203" t="s">
        <v>1089</v>
      </c>
      <c r="X1203" t="s">
        <v>824</v>
      </c>
      <c r="Y1203" t="s">
        <v>1023</v>
      </c>
      <c r="Z1203" t="s">
        <v>47</v>
      </c>
      <c r="AA1203"/>
      <c r="AB1203"/>
      <c r="AC1203"/>
      <c r="AD1203"/>
    </row>
    <row r="1204" spans="1:30">
      <c r="A1204">
        <v>3110090052</v>
      </c>
      <c r="B1204" t="s">
        <v>30</v>
      </c>
      <c r="C1204" t="s">
        <v>61</v>
      </c>
      <c r="D1204" t="s">
        <v>133</v>
      </c>
      <c r="E1204" t="s">
        <v>79</v>
      </c>
      <c r="F1204" t="s">
        <v>94</v>
      </c>
      <c r="G1204" t="s">
        <v>95</v>
      </c>
      <c r="H1204" t="s">
        <v>35</v>
      </c>
      <c r="I1204" t="s">
        <v>82</v>
      </c>
      <c r="J1204" t="s">
        <v>315</v>
      </c>
      <c r="K1204" t="str">
        <f>"tp 1080"</f>
        <v>0</v>
      </c>
      <c r="L1204">
        <v>69636</v>
      </c>
      <c r="M1204"/>
      <c r="N1204" t="s">
        <v>38</v>
      </c>
      <c r="O1204" t="s">
        <v>38</v>
      </c>
      <c r="P1204" t="s">
        <v>53</v>
      </c>
      <c r="Q1204" t="s">
        <v>38</v>
      </c>
      <c r="R1204" t="s">
        <v>38</v>
      </c>
      <c r="S1204" t="s">
        <v>42</v>
      </c>
      <c r="T1204" t="s">
        <v>42</v>
      </c>
      <c r="U1204" t="s">
        <v>1089</v>
      </c>
      <c r="V1204" t="s">
        <v>1022</v>
      </c>
      <c r="W1204" t="s">
        <v>1089</v>
      </c>
      <c r="X1204" t="s">
        <v>824</v>
      </c>
      <c r="Y1204" t="s">
        <v>1023</v>
      </c>
      <c r="Z1204" t="s">
        <v>47</v>
      </c>
      <c r="AA1204"/>
      <c r="AB1204"/>
      <c r="AC1204"/>
      <c r="AD1204"/>
    </row>
    <row r="1205" spans="1:30">
      <c r="A1205">
        <v>3110090053</v>
      </c>
      <c r="B1205" t="s">
        <v>30</v>
      </c>
      <c r="C1205" t="s">
        <v>61</v>
      </c>
      <c r="D1205" t="s">
        <v>133</v>
      </c>
      <c r="E1205" t="s">
        <v>79</v>
      </c>
      <c r="F1205" t="s">
        <v>94</v>
      </c>
      <c r="G1205" t="s">
        <v>95</v>
      </c>
      <c r="H1205" t="s">
        <v>35</v>
      </c>
      <c r="I1205" t="s">
        <v>82</v>
      </c>
      <c r="J1205" t="s">
        <v>368</v>
      </c>
      <c r="K1205" t="str">
        <f>"14515"</f>
        <v>0</v>
      </c>
      <c r="L1205">
        <v>69636</v>
      </c>
      <c r="M1205"/>
      <c r="N1205" t="s">
        <v>38</v>
      </c>
      <c r="O1205" t="s">
        <v>38</v>
      </c>
      <c r="P1205" t="s">
        <v>53</v>
      </c>
      <c r="Q1205" t="s">
        <v>38</v>
      </c>
      <c r="R1205" t="s">
        <v>38</v>
      </c>
      <c r="S1205" t="s">
        <v>42</v>
      </c>
      <c r="T1205" t="s">
        <v>42</v>
      </c>
      <c r="U1205" t="s">
        <v>1089</v>
      </c>
      <c r="V1205" t="s">
        <v>1022</v>
      </c>
      <c r="W1205" t="s">
        <v>1089</v>
      </c>
      <c r="X1205" t="s">
        <v>824</v>
      </c>
      <c r="Y1205" t="s">
        <v>1023</v>
      </c>
      <c r="Z1205" t="s">
        <v>47</v>
      </c>
      <c r="AA1205"/>
      <c r="AB1205"/>
      <c r="AC1205"/>
      <c r="AD1205"/>
    </row>
    <row r="1206" spans="1:30">
      <c r="A1206">
        <v>3110090080</v>
      </c>
      <c r="B1206" t="s">
        <v>30</v>
      </c>
      <c r="C1206" t="s">
        <v>61</v>
      </c>
      <c r="D1206" t="s">
        <v>133</v>
      </c>
      <c r="E1206" t="s">
        <v>55</v>
      </c>
      <c r="F1206" t="s">
        <v>94</v>
      </c>
      <c r="G1206" t="s">
        <v>95</v>
      </c>
      <c r="H1206" t="s">
        <v>35</v>
      </c>
      <c r="I1206" t="s">
        <v>82</v>
      </c>
      <c r="J1206" t="s">
        <v>625</v>
      </c>
      <c r="K1206" t="str">
        <f>"tp 1077"</f>
        <v>0</v>
      </c>
      <c r="L1206">
        <v>69636</v>
      </c>
      <c r="M1206"/>
      <c r="N1206" t="s">
        <v>38</v>
      </c>
      <c r="O1206" t="s">
        <v>38</v>
      </c>
      <c r="P1206" t="s">
        <v>53</v>
      </c>
      <c r="Q1206" t="s">
        <v>38</v>
      </c>
      <c r="R1206" t="s">
        <v>38</v>
      </c>
      <c r="S1206" t="s">
        <v>42</v>
      </c>
      <c r="T1206" t="s">
        <v>42</v>
      </c>
      <c r="U1206" t="s">
        <v>1089</v>
      </c>
      <c r="V1206" t="s">
        <v>1022</v>
      </c>
      <c r="W1206" t="s">
        <v>1089</v>
      </c>
      <c r="X1206" t="s">
        <v>824</v>
      </c>
      <c r="Y1206" t="s">
        <v>1023</v>
      </c>
      <c r="Z1206" t="s">
        <v>47</v>
      </c>
      <c r="AA1206"/>
      <c r="AB1206"/>
      <c r="AC1206"/>
      <c r="AD1206"/>
    </row>
    <row r="1207" spans="1:30">
      <c r="A1207">
        <v>3110110032</v>
      </c>
      <c r="B1207" t="s">
        <v>30</v>
      </c>
      <c r="C1207" t="s">
        <v>61</v>
      </c>
      <c r="D1207" t="s">
        <v>62</v>
      </c>
      <c r="E1207" t="s">
        <v>55</v>
      </c>
      <c r="F1207" t="s">
        <v>94</v>
      </c>
      <c r="G1207" t="s">
        <v>95</v>
      </c>
      <c r="H1207" t="s">
        <v>35</v>
      </c>
      <c r="I1207" t="s">
        <v>82</v>
      </c>
      <c r="J1207" t="s">
        <v>1209</v>
      </c>
      <c r="K1207" t="str">
        <f>"6817"</f>
        <v>0</v>
      </c>
      <c r="L1207">
        <v>69636</v>
      </c>
      <c r="M1207"/>
      <c r="N1207" t="s">
        <v>38</v>
      </c>
      <c r="O1207" t="s">
        <v>38</v>
      </c>
      <c r="P1207" t="s">
        <v>53</v>
      </c>
      <c r="Q1207" t="s">
        <v>38</v>
      </c>
      <c r="R1207" t="s">
        <v>38</v>
      </c>
      <c r="S1207" t="s">
        <v>42</v>
      </c>
      <c r="T1207" t="s">
        <v>42</v>
      </c>
      <c r="U1207" t="s">
        <v>1089</v>
      </c>
      <c r="V1207" t="s">
        <v>636</v>
      </c>
      <c r="W1207" t="s">
        <v>1089</v>
      </c>
      <c r="X1207" t="s">
        <v>824</v>
      </c>
      <c r="Y1207" t="s">
        <v>1053</v>
      </c>
      <c r="Z1207" t="s">
        <v>47</v>
      </c>
      <c r="AA1207"/>
      <c r="AB1207"/>
      <c r="AC1207"/>
      <c r="AD1207" t="s">
        <v>638</v>
      </c>
    </row>
    <row r="1208" spans="1:30">
      <c r="A1208">
        <v>3110110071</v>
      </c>
      <c r="B1208" t="s">
        <v>30</v>
      </c>
      <c r="C1208" t="s">
        <v>61</v>
      </c>
      <c r="D1208" t="s">
        <v>62</v>
      </c>
      <c r="E1208" t="s">
        <v>79</v>
      </c>
      <c r="F1208" t="s">
        <v>94</v>
      </c>
      <c r="G1208" t="s">
        <v>95</v>
      </c>
      <c r="H1208" t="s">
        <v>35</v>
      </c>
      <c r="I1208" t="s">
        <v>82</v>
      </c>
      <c r="J1208" t="s">
        <v>1209</v>
      </c>
      <c r="K1208" t="str">
        <f>"6816"</f>
        <v>0</v>
      </c>
      <c r="L1208">
        <v>69636</v>
      </c>
      <c r="M1208"/>
      <c r="N1208" t="s">
        <v>38</v>
      </c>
      <c r="O1208" t="s">
        <v>38</v>
      </c>
      <c r="P1208" t="s">
        <v>53</v>
      </c>
      <c r="Q1208" t="s">
        <v>38</v>
      </c>
      <c r="R1208" t="s">
        <v>38</v>
      </c>
      <c r="S1208" t="s">
        <v>42</v>
      </c>
      <c r="T1208" t="s">
        <v>42</v>
      </c>
      <c r="U1208" t="s">
        <v>1089</v>
      </c>
      <c r="V1208" t="s">
        <v>636</v>
      </c>
      <c r="W1208" t="s">
        <v>1089</v>
      </c>
      <c r="X1208" t="s">
        <v>824</v>
      </c>
      <c r="Y1208" t="s">
        <v>1053</v>
      </c>
      <c r="Z1208" t="s">
        <v>47</v>
      </c>
      <c r="AA1208"/>
      <c r="AB1208"/>
      <c r="AC1208"/>
      <c r="AD1208" t="s">
        <v>638</v>
      </c>
    </row>
    <row r="1209" spans="1:30">
      <c r="A1209">
        <v>4110050001</v>
      </c>
      <c r="B1209" t="s">
        <v>30</v>
      </c>
      <c r="C1209" t="s">
        <v>88</v>
      </c>
      <c r="D1209" t="s">
        <v>165</v>
      </c>
      <c r="E1209" t="s">
        <v>55</v>
      </c>
      <c r="F1209" t="s">
        <v>94</v>
      </c>
      <c r="G1209" t="s">
        <v>95</v>
      </c>
      <c r="H1209" t="s">
        <v>35</v>
      </c>
      <c r="I1209" t="s">
        <v>1210</v>
      </c>
      <c r="J1209" t="s">
        <v>949</v>
      </c>
      <c r="K1209" t="str">
        <f>"bp1/rl/25/080910"</f>
        <v>0</v>
      </c>
      <c r="L1209">
        <v>60000</v>
      </c>
      <c r="M1209"/>
      <c r="N1209" t="s">
        <v>38</v>
      </c>
      <c r="O1209" t="s">
        <v>38</v>
      </c>
      <c r="P1209" t="s">
        <v>53</v>
      </c>
      <c r="Q1209" t="s">
        <v>38</v>
      </c>
      <c r="R1209" t="s">
        <v>38</v>
      </c>
      <c r="S1209" t="s">
        <v>42</v>
      </c>
      <c r="T1209" t="s">
        <v>42</v>
      </c>
      <c r="U1209" t="s">
        <v>1089</v>
      </c>
      <c r="V1209" t="s">
        <v>1068</v>
      </c>
      <c r="W1209" t="s">
        <v>1089</v>
      </c>
      <c r="X1209" t="s">
        <v>824</v>
      </c>
      <c r="Y1209" t="s">
        <v>1066</v>
      </c>
      <c r="Z1209" t="s">
        <v>47</v>
      </c>
      <c r="AA1209"/>
      <c r="AB1209"/>
      <c r="AC1209"/>
      <c r="AD1209" t="s">
        <v>638</v>
      </c>
    </row>
    <row r="1210" spans="1:30">
      <c r="A1210">
        <v>3110110074</v>
      </c>
      <c r="B1210" t="s">
        <v>30</v>
      </c>
      <c r="C1210" t="s">
        <v>61</v>
      </c>
      <c r="D1210" t="s">
        <v>62</v>
      </c>
      <c r="E1210" t="s">
        <v>55</v>
      </c>
      <c r="F1210" t="s">
        <v>94</v>
      </c>
      <c r="G1210" t="s">
        <v>95</v>
      </c>
      <c r="H1210" t="s">
        <v>35</v>
      </c>
      <c r="I1210" t="s">
        <v>82</v>
      </c>
      <c r="J1210" t="s">
        <v>1209</v>
      </c>
      <c r="K1210" t="str">
        <f>"na"</f>
        <v>0</v>
      </c>
      <c r="L1210">
        <v>69636</v>
      </c>
      <c r="M1210"/>
      <c r="N1210" t="s">
        <v>38</v>
      </c>
      <c r="O1210" t="s">
        <v>38</v>
      </c>
      <c r="P1210" t="s">
        <v>53</v>
      </c>
      <c r="Q1210" t="s">
        <v>38</v>
      </c>
      <c r="R1210" t="s">
        <v>38</v>
      </c>
      <c r="S1210" t="s">
        <v>42</v>
      </c>
      <c r="T1210" t="s">
        <v>42</v>
      </c>
      <c r="U1210" t="s">
        <v>1089</v>
      </c>
      <c r="V1210" t="s">
        <v>636</v>
      </c>
      <c r="W1210" t="s">
        <v>1089</v>
      </c>
      <c r="X1210" t="s">
        <v>824</v>
      </c>
      <c r="Y1210" t="s">
        <v>1066</v>
      </c>
      <c r="Z1210" t="s">
        <v>47</v>
      </c>
      <c r="AA1210"/>
      <c r="AB1210"/>
      <c r="AC1210"/>
      <c r="AD1210" t="s">
        <v>638</v>
      </c>
    </row>
    <row r="1211" spans="1:30">
      <c r="A1211">
        <v>4110050007</v>
      </c>
      <c r="B1211" t="s">
        <v>30</v>
      </c>
      <c r="C1211" t="s">
        <v>88</v>
      </c>
      <c r="D1211" t="s">
        <v>165</v>
      </c>
      <c r="E1211" t="s">
        <v>79</v>
      </c>
      <c r="F1211" t="s">
        <v>94</v>
      </c>
      <c r="G1211" t="s">
        <v>95</v>
      </c>
      <c r="H1211" t="s">
        <v>35</v>
      </c>
      <c r="I1211" t="s">
        <v>82</v>
      </c>
      <c r="J1211" t="s">
        <v>1180</v>
      </c>
      <c r="K1211" t="str">
        <f>"14522"</f>
        <v>0</v>
      </c>
      <c r="L1211">
        <v>69636</v>
      </c>
      <c r="M1211"/>
      <c r="N1211" t="s">
        <v>38</v>
      </c>
      <c r="O1211" t="s">
        <v>38</v>
      </c>
      <c r="P1211" t="s">
        <v>53</v>
      </c>
      <c r="Q1211" t="s">
        <v>38</v>
      </c>
      <c r="R1211" t="s">
        <v>38</v>
      </c>
      <c r="S1211" t="s">
        <v>42</v>
      </c>
      <c r="T1211" t="s">
        <v>42</v>
      </c>
      <c r="U1211" t="s">
        <v>1089</v>
      </c>
      <c r="V1211" t="s">
        <v>1068</v>
      </c>
      <c r="W1211" t="s">
        <v>1089</v>
      </c>
      <c r="X1211" t="s">
        <v>824</v>
      </c>
      <c r="Y1211" t="s">
        <v>1066</v>
      </c>
      <c r="Z1211" t="s">
        <v>47</v>
      </c>
      <c r="AA1211"/>
      <c r="AB1211"/>
      <c r="AC1211"/>
      <c r="AD1211" t="s">
        <v>638</v>
      </c>
    </row>
    <row r="1212" spans="1:30">
      <c r="A1212">
        <v>3110110104</v>
      </c>
      <c r="B1212" t="s">
        <v>30</v>
      </c>
      <c r="C1212" t="s">
        <v>61</v>
      </c>
      <c r="D1212" t="s">
        <v>62</v>
      </c>
      <c r="E1212" t="s">
        <v>79</v>
      </c>
      <c r="F1212" t="s">
        <v>94</v>
      </c>
      <c r="G1212" t="s">
        <v>95</v>
      </c>
      <c r="H1212" t="s">
        <v>35</v>
      </c>
      <c r="I1212" t="s">
        <v>82</v>
      </c>
      <c r="J1212" t="s">
        <v>1211</v>
      </c>
      <c r="K1212" t="str">
        <f>"14493"</f>
        <v>0</v>
      </c>
      <c r="L1212">
        <v>69636</v>
      </c>
      <c r="M1212"/>
      <c r="N1212" t="s">
        <v>38</v>
      </c>
      <c r="O1212" t="s">
        <v>38</v>
      </c>
      <c r="P1212" t="s">
        <v>53</v>
      </c>
      <c r="Q1212" t="s">
        <v>38</v>
      </c>
      <c r="R1212" t="s">
        <v>38</v>
      </c>
      <c r="S1212" t="s">
        <v>42</v>
      </c>
      <c r="T1212" t="s">
        <v>42</v>
      </c>
      <c r="U1212" t="s">
        <v>1089</v>
      </c>
      <c r="V1212" t="s">
        <v>636</v>
      </c>
      <c r="W1212" t="s">
        <v>1089</v>
      </c>
      <c r="X1212" t="s">
        <v>824</v>
      </c>
      <c r="Y1212" t="s">
        <v>1066</v>
      </c>
      <c r="Z1212" t="s">
        <v>47</v>
      </c>
      <c r="AA1212"/>
      <c r="AB1212"/>
      <c r="AC1212"/>
      <c r="AD1212" t="s">
        <v>638</v>
      </c>
    </row>
    <row r="1213" spans="1:30">
      <c r="A1213">
        <v>3110110105</v>
      </c>
      <c r="B1213" t="s">
        <v>30</v>
      </c>
      <c r="C1213" t="s">
        <v>61</v>
      </c>
      <c r="D1213" t="s">
        <v>62</v>
      </c>
      <c r="E1213" t="s">
        <v>79</v>
      </c>
      <c r="F1213" t="s">
        <v>94</v>
      </c>
      <c r="G1213" t="s">
        <v>95</v>
      </c>
      <c r="H1213" t="s">
        <v>35</v>
      </c>
      <c r="I1213" t="s">
        <v>82</v>
      </c>
      <c r="J1213" t="s">
        <v>1211</v>
      </c>
      <c r="K1213" t="str">
        <f>"14500"</f>
        <v>0</v>
      </c>
      <c r="L1213">
        <v>69636</v>
      </c>
      <c r="M1213"/>
      <c r="N1213" t="s">
        <v>38</v>
      </c>
      <c r="O1213" t="s">
        <v>38</v>
      </c>
      <c r="P1213" t="s">
        <v>53</v>
      </c>
      <c r="Q1213" t="s">
        <v>38</v>
      </c>
      <c r="R1213" t="s">
        <v>38</v>
      </c>
      <c r="S1213" t="s">
        <v>42</v>
      </c>
      <c r="T1213" t="s">
        <v>42</v>
      </c>
      <c r="U1213" t="s">
        <v>1089</v>
      </c>
      <c r="V1213" t="s">
        <v>636</v>
      </c>
      <c r="W1213" t="s">
        <v>1089</v>
      </c>
      <c r="X1213" t="s">
        <v>824</v>
      </c>
      <c r="Y1213" t="s">
        <v>1066</v>
      </c>
      <c r="Z1213" t="s">
        <v>47</v>
      </c>
      <c r="AA1213"/>
      <c r="AB1213"/>
      <c r="AC1213"/>
      <c r="AD1213" t="s">
        <v>638</v>
      </c>
    </row>
    <row r="1214" spans="1:30">
      <c r="A1214">
        <v>3110110106</v>
      </c>
      <c r="B1214" t="s">
        <v>30</v>
      </c>
      <c r="C1214" t="s">
        <v>61</v>
      </c>
      <c r="D1214" t="s">
        <v>62</v>
      </c>
      <c r="E1214" t="s">
        <v>79</v>
      </c>
      <c r="F1214" t="s">
        <v>94</v>
      </c>
      <c r="G1214" t="s">
        <v>95</v>
      </c>
      <c r="H1214" t="s">
        <v>35</v>
      </c>
      <c r="I1214" t="s">
        <v>82</v>
      </c>
      <c r="J1214" t="s">
        <v>1211</v>
      </c>
      <c r="K1214" t="str">
        <f>"14499"</f>
        <v>0</v>
      </c>
      <c r="L1214">
        <v>69636</v>
      </c>
      <c r="M1214"/>
      <c r="N1214" t="s">
        <v>38</v>
      </c>
      <c r="O1214" t="s">
        <v>38</v>
      </c>
      <c r="P1214" t="s">
        <v>53</v>
      </c>
      <c r="Q1214" t="s">
        <v>38</v>
      </c>
      <c r="R1214" t="s">
        <v>38</v>
      </c>
      <c r="S1214" t="s">
        <v>42</v>
      </c>
      <c r="T1214" t="s">
        <v>42</v>
      </c>
      <c r="U1214" t="s">
        <v>1089</v>
      </c>
      <c r="V1214" t="s">
        <v>636</v>
      </c>
      <c r="W1214" t="s">
        <v>1089</v>
      </c>
      <c r="X1214" t="s">
        <v>824</v>
      </c>
      <c r="Y1214" t="s">
        <v>1066</v>
      </c>
      <c r="Z1214" t="s">
        <v>47</v>
      </c>
      <c r="AA1214"/>
      <c r="AB1214"/>
      <c r="AC1214"/>
      <c r="AD1214" t="s">
        <v>638</v>
      </c>
    </row>
    <row r="1215" spans="1:30">
      <c r="A1215">
        <v>4110030022</v>
      </c>
      <c r="B1215" t="s">
        <v>30</v>
      </c>
      <c r="C1215" t="s">
        <v>88</v>
      </c>
      <c r="D1215" t="s">
        <v>89</v>
      </c>
      <c r="E1215" t="s">
        <v>79</v>
      </c>
      <c r="F1215" t="s">
        <v>94</v>
      </c>
      <c r="G1215" t="s">
        <v>95</v>
      </c>
      <c r="H1215" t="s">
        <v>35</v>
      </c>
      <c r="I1215" t="s">
        <v>82</v>
      </c>
      <c r="J1215" t="s">
        <v>1178</v>
      </c>
      <c r="K1215" t="str">
        <f>"14528"</f>
        <v>0</v>
      </c>
      <c r="L1215">
        <v>69636</v>
      </c>
      <c r="M1215"/>
      <c r="N1215" t="s">
        <v>38</v>
      </c>
      <c r="O1215" t="s">
        <v>38</v>
      </c>
      <c r="P1215" t="s">
        <v>53</v>
      </c>
      <c r="Q1215" t="s">
        <v>38</v>
      </c>
      <c r="R1215" t="s">
        <v>38</v>
      </c>
      <c r="S1215" t="s">
        <v>42</v>
      </c>
      <c r="T1215" t="s">
        <v>42</v>
      </c>
      <c r="U1215" t="s">
        <v>1089</v>
      </c>
      <c r="V1215" t="s">
        <v>1068</v>
      </c>
      <c r="W1215" t="s">
        <v>1089</v>
      </c>
      <c r="X1215" t="s">
        <v>824</v>
      </c>
      <c r="Y1215" t="s">
        <v>1089</v>
      </c>
      <c r="Z1215" t="s">
        <v>47</v>
      </c>
      <c r="AA1215"/>
      <c r="AB1215"/>
      <c r="AC1215"/>
      <c r="AD1215" t="s">
        <v>638</v>
      </c>
    </row>
    <row r="1216" spans="1:30">
      <c r="A1216">
        <v>3110100135</v>
      </c>
      <c r="B1216" t="s">
        <v>30</v>
      </c>
      <c r="C1216" t="s">
        <v>61</v>
      </c>
      <c r="D1216" t="s">
        <v>71</v>
      </c>
      <c r="E1216" t="s">
        <v>1208</v>
      </c>
      <c r="F1216" t="s">
        <v>286</v>
      </c>
      <c r="G1216" t="s">
        <v>287</v>
      </c>
      <c r="H1216" t="s">
        <v>35</v>
      </c>
      <c r="I1216" t="s">
        <v>82</v>
      </c>
      <c r="J1216" t="s">
        <v>1212</v>
      </c>
      <c r="K1216" t="str">
        <f>"na"</f>
        <v>0</v>
      </c>
      <c r="L1216">
        <v>67950</v>
      </c>
      <c r="M1216"/>
      <c r="N1216" t="s">
        <v>38</v>
      </c>
      <c r="O1216" t="s">
        <v>38</v>
      </c>
      <c r="P1216" t="s">
        <v>53</v>
      </c>
      <c r="Q1216" t="s">
        <v>38</v>
      </c>
      <c r="R1216" t="s">
        <v>38</v>
      </c>
      <c r="S1216" t="s">
        <v>42</v>
      </c>
      <c r="T1216" t="s">
        <v>42</v>
      </c>
      <c r="U1216" t="s">
        <v>1089</v>
      </c>
      <c r="V1216" t="s">
        <v>636</v>
      </c>
      <c r="W1216" t="s">
        <v>1089</v>
      </c>
      <c r="X1216" t="s">
        <v>824</v>
      </c>
      <c r="Y1216" t="s">
        <v>989</v>
      </c>
      <c r="Z1216" t="s">
        <v>47</v>
      </c>
      <c r="AA1216"/>
      <c r="AB1216"/>
      <c r="AC1216"/>
      <c r="AD1216" t="s">
        <v>638</v>
      </c>
    </row>
    <row r="1217" spans="1:30">
      <c r="A1217">
        <v>3110100136</v>
      </c>
      <c r="B1217" t="s">
        <v>30</v>
      </c>
      <c r="C1217" t="s">
        <v>61</v>
      </c>
      <c r="D1217" t="s">
        <v>71</v>
      </c>
      <c r="E1217" t="s">
        <v>1208</v>
      </c>
      <c r="F1217" t="s">
        <v>286</v>
      </c>
      <c r="G1217" t="s">
        <v>287</v>
      </c>
      <c r="H1217" t="s">
        <v>35</v>
      </c>
      <c r="I1217" t="s">
        <v>82</v>
      </c>
      <c r="J1217" t="s">
        <v>1212</v>
      </c>
      <c r="K1217" t="str">
        <f>"TP1011"</f>
        <v>0</v>
      </c>
      <c r="L1217">
        <v>67950</v>
      </c>
      <c r="M1217"/>
      <c r="N1217" t="s">
        <v>38</v>
      </c>
      <c r="O1217" t="s">
        <v>38</v>
      </c>
      <c r="P1217" t="s">
        <v>53</v>
      </c>
      <c r="Q1217" t="s">
        <v>38</v>
      </c>
      <c r="R1217" t="s">
        <v>38</v>
      </c>
      <c r="S1217" t="s">
        <v>42</v>
      </c>
      <c r="T1217" t="s">
        <v>42</v>
      </c>
      <c r="U1217" t="s">
        <v>1089</v>
      </c>
      <c r="V1217" t="s">
        <v>636</v>
      </c>
      <c r="W1217" t="s">
        <v>1089</v>
      </c>
      <c r="X1217" t="s">
        <v>824</v>
      </c>
      <c r="Y1217" t="s">
        <v>989</v>
      </c>
      <c r="Z1217" t="s">
        <v>47</v>
      </c>
      <c r="AA1217"/>
      <c r="AB1217"/>
      <c r="AC1217"/>
      <c r="AD1217" t="s">
        <v>638</v>
      </c>
    </row>
    <row r="1218" spans="1:30">
      <c r="A1218">
        <v>3110100138</v>
      </c>
      <c r="B1218" t="s">
        <v>30</v>
      </c>
      <c r="C1218" t="s">
        <v>61</v>
      </c>
      <c r="D1218" t="s">
        <v>71</v>
      </c>
      <c r="E1218" t="s">
        <v>1208</v>
      </c>
      <c r="F1218" t="s">
        <v>286</v>
      </c>
      <c r="G1218" t="s">
        <v>287</v>
      </c>
      <c r="H1218" t="s">
        <v>35</v>
      </c>
      <c r="I1218" t="s">
        <v>100</v>
      </c>
      <c r="J1218" t="s">
        <v>59</v>
      </c>
      <c r="K1218" t="str">
        <f>"na"</f>
        <v>0</v>
      </c>
      <c r="L1218">
        <v>35000</v>
      </c>
      <c r="M1218"/>
      <c r="N1218" t="s">
        <v>38</v>
      </c>
      <c r="O1218" t="s">
        <v>38</v>
      </c>
      <c r="P1218" t="s">
        <v>53</v>
      </c>
      <c r="Q1218" t="s">
        <v>38</v>
      </c>
      <c r="R1218" t="s">
        <v>38</v>
      </c>
      <c r="S1218" t="s">
        <v>42</v>
      </c>
      <c r="T1218" t="s">
        <v>42</v>
      </c>
      <c r="U1218" t="s">
        <v>1089</v>
      </c>
      <c r="V1218" t="s">
        <v>636</v>
      </c>
      <c r="W1218" t="s">
        <v>1089</v>
      </c>
      <c r="X1218" t="s">
        <v>824</v>
      </c>
      <c r="Y1218" t="s">
        <v>989</v>
      </c>
      <c r="Z1218" t="s">
        <v>47</v>
      </c>
      <c r="AA1218"/>
      <c r="AB1218"/>
      <c r="AC1218"/>
      <c r="AD1218" t="s">
        <v>638</v>
      </c>
    </row>
    <row r="1219" spans="1:30">
      <c r="A1219">
        <v>3110110107</v>
      </c>
      <c r="B1219" t="s">
        <v>30</v>
      </c>
      <c r="C1219" t="s">
        <v>61</v>
      </c>
      <c r="D1219" t="s">
        <v>62</v>
      </c>
      <c r="E1219" t="s">
        <v>79</v>
      </c>
      <c r="F1219" t="s">
        <v>286</v>
      </c>
      <c r="G1219" t="s">
        <v>287</v>
      </c>
      <c r="H1219" t="s">
        <v>35</v>
      </c>
      <c r="I1219" t="s">
        <v>82</v>
      </c>
      <c r="J1219" t="s">
        <v>1213</v>
      </c>
      <c r="K1219" t="str">
        <f>"5473"</f>
        <v>0</v>
      </c>
      <c r="L1219">
        <v>67950</v>
      </c>
      <c r="M1219"/>
      <c r="N1219" t="s">
        <v>38</v>
      </c>
      <c r="O1219" t="s">
        <v>38</v>
      </c>
      <c r="P1219" t="s">
        <v>53</v>
      </c>
      <c r="Q1219" t="s">
        <v>38</v>
      </c>
      <c r="R1219" t="s">
        <v>38</v>
      </c>
      <c r="S1219" t="s">
        <v>42</v>
      </c>
      <c r="T1219" t="s">
        <v>42</v>
      </c>
      <c r="U1219" t="s">
        <v>1089</v>
      </c>
      <c r="V1219" t="s">
        <v>636</v>
      </c>
      <c r="W1219" t="s">
        <v>1089</v>
      </c>
      <c r="X1219" t="s">
        <v>824</v>
      </c>
      <c r="Y1219" t="s">
        <v>1066</v>
      </c>
      <c r="Z1219" t="s">
        <v>47</v>
      </c>
      <c r="AA1219"/>
      <c r="AB1219"/>
      <c r="AC1219"/>
      <c r="AD1219" t="s">
        <v>638</v>
      </c>
    </row>
    <row r="1220" spans="1:30">
      <c r="A1220">
        <v>3110110108</v>
      </c>
      <c r="B1220" t="s">
        <v>30</v>
      </c>
      <c r="C1220" t="s">
        <v>61</v>
      </c>
      <c r="D1220" t="s">
        <v>62</v>
      </c>
      <c r="E1220" t="s">
        <v>79</v>
      </c>
      <c r="F1220" t="s">
        <v>286</v>
      </c>
      <c r="G1220" t="s">
        <v>287</v>
      </c>
      <c r="H1220" t="s">
        <v>35</v>
      </c>
      <c r="I1220" t="s">
        <v>82</v>
      </c>
      <c r="J1220" t="s">
        <v>1213</v>
      </c>
      <c r="K1220" t="str">
        <f>"5320"</f>
        <v>0</v>
      </c>
      <c r="L1220">
        <v>67950</v>
      </c>
      <c r="M1220"/>
      <c r="N1220" t="s">
        <v>38</v>
      </c>
      <c r="O1220" t="s">
        <v>38</v>
      </c>
      <c r="P1220" t="s">
        <v>53</v>
      </c>
      <c r="Q1220" t="s">
        <v>38</v>
      </c>
      <c r="R1220" t="s">
        <v>38</v>
      </c>
      <c r="S1220" t="s">
        <v>42</v>
      </c>
      <c r="T1220" t="s">
        <v>42</v>
      </c>
      <c r="U1220" t="s">
        <v>1089</v>
      </c>
      <c r="V1220" t="s">
        <v>636</v>
      </c>
      <c r="W1220" t="s">
        <v>1089</v>
      </c>
      <c r="X1220" t="s">
        <v>824</v>
      </c>
      <c r="Y1220" t="s">
        <v>1066</v>
      </c>
      <c r="Z1220" t="s">
        <v>47</v>
      </c>
      <c r="AA1220"/>
      <c r="AB1220"/>
      <c r="AC1220"/>
      <c r="AD1220" t="s">
        <v>638</v>
      </c>
    </row>
    <row r="1221" spans="1:30">
      <c r="A1221">
        <v>4110030032</v>
      </c>
      <c r="B1221" t="s">
        <v>30</v>
      </c>
      <c r="C1221" t="s">
        <v>88</v>
      </c>
      <c r="D1221" t="s">
        <v>89</v>
      </c>
      <c r="E1221" t="s">
        <v>79</v>
      </c>
      <c r="F1221" t="s">
        <v>56</v>
      </c>
      <c r="G1221" t="s">
        <v>283</v>
      </c>
      <c r="H1221" t="s">
        <v>50</v>
      </c>
      <c r="I1221" t="s">
        <v>375</v>
      </c>
      <c r="J1221" t="s">
        <v>315</v>
      </c>
      <c r="K1221" t="str">
        <f>"n/a"</f>
        <v>0</v>
      </c>
      <c r="L1221">
        <v>10000</v>
      </c>
      <c r="M1221"/>
      <c r="N1221" t="s">
        <v>38</v>
      </c>
      <c r="O1221" t="s">
        <v>38</v>
      </c>
      <c r="P1221" t="s">
        <v>53</v>
      </c>
      <c r="Q1221" t="s">
        <v>38</v>
      </c>
      <c r="R1221" t="s">
        <v>38</v>
      </c>
      <c r="S1221" t="s">
        <v>42</v>
      </c>
      <c r="T1221" t="s">
        <v>42</v>
      </c>
      <c r="U1221" t="s">
        <v>1089</v>
      </c>
      <c r="V1221" t="s">
        <v>1068</v>
      </c>
      <c r="W1221" t="s">
        <v>1089</v>
      </c>
      <c r="X1221" t="s">
        <v>824</v>
      </c>
      <c r="Y1221" t="s">
        <v>1089</v>
      </c>
      <c r="Z1221" t="s">
        <v>47</v>
      </c>
      <c r="AA1221"/>
      <c r="AB1221"/>
      <c r="AC1221"/>
      <c r="AD1221" t="s">
        <v>638</v>
      </c>
    </row>
    <row r="1222" spans="1:30">
      <c r="A1222">
        <v>3110110078</v>
      </c>
      <c r="B1222" t="s">
        <v>30</v>
      </c>
      <c r="C1222" t="s">
        <v>61</v>
      </c>
      <c r="D1222" t="s">
        <v>62</v>
      </c>
      <c r="E1222" t="s">
        <v>55</v>
      </c>
      <c r="F1222" t="s">
        <v>108</v>
      </c>
      <c r="G1222" t="s">
        <v>109</v>
      </c>
      <c r="H1222" t="s">
        <v>50</v>
      </c>
      <c r="I1222" t="s">
        <v>1214</v>
      </c>
      <c r="J1222" t="s">
        <v>1215</v>
      </c>
      <c r="K1222" t="str">
        <f>"Na"</f>
        <v>0</v>
      </c>
      <c r="L1222">
        <v>39732</v>
      </c>
      <c r="M1222"/>
      <c r="N1222" t="s">
        <v>38</v>
      </c>
      <c r="O1222" t="s">
        <v>38</v>
      </c>
      <c r="P1222" t="s">
        <v>53</v>
      </c>
      <c r="Q1222" t="s">
        <v>38</v>
      </c>
      <c r="R1222" t="s">
        <v>38</v>
      </c>
      <c r="S1222" t="s">
        <v>42</v>
      </c>
      <c r="T1222" t="s">
        <v>42</v>
      </c>
      <c r="U1222" t="s">
        <v>1089</v>
      </c>
      <c r="V1222" t="s">
        <v>636</v>
      </c>
      <c r="W1222" t="s">
        <v>1089</v>
      </c>
      <c r="X1222" t="s">
        <v>824</v>
      </c>
      <c r="Y1222" t="s">
        <v>1066</v>
      </c>
      <c r="Z1222" t="s">
        <v>47</v>
      </c>
      <c r="AA1222"/>
      <c r="AB1222"/>
      <c r="AC1222"/>
      <c r="AD1222" t="s">
        <v>710</v>
      </c>
    </row>
    <row r="1223" spans="1:30">
      <c r="A1223">
        <v>3110110079</v>
      </c>
      <c r="B1223" t="s">
        <v>30</v>
      </c>
      <c r="C1223" t="s">
        <v>61</v>
      </c>
      <c r="D1223" t="s">
        <v>62</v>
      </c>
      <c r="E1223" t="s">
        <v>55</v>
      </c>
      <c r="F1223" t="s">
        <v>108</v>
      </c>
      <c r="G1223" t="s">
        <v>109</v>
      </c>
      <c r="H1223" t="s">
        <v>50</v>
      </c>
      <c r="I1223" t="s">
        <v>1214</v>
      </c>
      <c r="J1223" t="s">
        <v>1215</v>
      </c>
      <c r="K1223" t="str">
        <f>"na"</f>
        <v>0</v>
      </c>
      <c r="L1223">
        <v>39732</v>
      </c>
      <c r="M1223"/>
      <c r="N1223" t="s">
        <v>38</v>
      </c>
      <c r="O1223" t="s">
        <v>38</v>
      </c>
      <c r="P1223" t="s">
        <v>53</v>
      </c>
      <c r="Q1223" t="s">
        <v>38</v>
      </c>
      <c r="R1223" t="s">
        <v>38</v>
      </c>
      <c r="S1223" t="s">
        <v>42</v>
      </c>
      <c r="T1223" t="s">
        <v>42</v>
      </c>
      <c r="U1223" t="s">
        <v>1089</v>
      </c>
      <c r="V1223" t="s">
        <v>636</v>
      </c>
      <c r="W1223" t="s">
        <v>1089</v>
      </c>
      <c r="X1223" t="s">
        <v>824</v>
      </c>
      <c r="Y1223" t="s">
        <v>1066</v>
      </c>
      <c r="Z1223" t="s">
        <v>47</v>
      </c>
      <c r="AA1223"/>
      <c r="AB1223"/>
      <c r="AC1223"/>
      <c r="AD1223" t="s">
        <v>710</v>
      </c>
    </row>
    <row r="1224" spans="1:30">
      <c r="A1224">
        <v>4110050024</v>
      </c>
      <c r="B1224" t="s">
        <v>30</v>
      </c>
      <c r="C1224" t="s">
        <v>88</v>
      </c>
      <c r="D1224" t="s">
        <v>165</v>
      </c>
      <c r="E1224" t="s">
        <v>104</v>
      </c>
      <c r="F1224" t="s">
        <v>108</v>
      </c>
      <c r="G1224" t="s">
        <v>109</v>
      </c>
      <c r="H1224" t="s">
        <v>50</v>
      </c>
      <c r="I1224" t="s">
        <v>496</v>
      </c>
      <c r="J1224" t="s">
        <v>949</v>
      </c>
      <c r="K1224" t="str">
        <f>"n/a"</f>
        <v>0</v>
      </c>
      <c r="L1224">
        <v>10000</v>
      </c>
      <c r="M1224"/>
      <c r="N1224" t="s">
        <v>38</v>
      </c>
      <c r="O1224" t="s">
        <v>38</v>
      </c>
      <c r="P1224" t="s">
        <v>53</v>
      </c>
      <c r="Q1224" t="s">
        <v>38</v>
      </c>
      <c r="R1224" t="s">
        <v>38</v>
      </c>
      <c r="S1224" t="s">
        <v>42</v>
      </c>
      <c r="T1224" t="s">
        <v>42</v>
      </c>
      <c r="U1224" t="s">
        <v>1089</v>
      </c>
      <c r="V1224" t="s">
        <v>1068</v>
      </c>
      <c r="W1224" t="s">
        <v>1089</v>
      </c>
      <c r="X1224" t="s">
        <v>824</v>
      </c>
      <c r="Y1224" t="s">
        <v>1066</v>
      </c>
      <c r="Z1224" t="s">
        <v>47</v>
      </c>
      <c r="AA1224"/>
      <c r="AB1224"/>
      <c r="AC1224"/>
      <c r="AD1224" t="s">
        <v>638</v>
      </c>
    </row>
    <row r="1225" spans="1:30">
      <c r="A1225">
        <v>3110110098</v>
      </c>
      <c r="B1225" t="s">
        <v>30</v>
      </c>
      <c r="C1225" t="s">
        <v>61</v>
      </c>
      <c r="D1225" t="s">
        <v>62</v>
      </c>
      <c r="E1225" t="s">
        <v>79</v>
      </c>
      <c r="F1225" t="s">
        <v>108</v>
      </c>
      <c r="G1225" t="s">
        <v>109</v>
      </c>
      <c r="H1225" t="s">
        <v>50</v>
      </c>
      <c r="I1225" t="s">
        <v>450</v>
      </c>
      <c r="J1225" t="s">
        <v>1216</v>
      </c>
      <c r="K1225" t="str">
        <f>"na"</f>
        <v>0</v>
      </c>
      <c r="L1225">
        <v>10000</v>
      </c>
      <c r="M1225"/>
      <c r="N1225" t="s">
        <v>38</v>
      </c>
      <c r="O1225" t="s">
        <v>38</v>
      </c>
      <c r="P1225" t="s">
        <v>53</v>
      </c>
      <c r="Q1225" t="s">
        <v>38</v>
      </c>
      <c r="R1225" t="s">
        <v>38</v>
      </c>
      <c r="S1225" t="s">
        <v>42</v>
      </c>
      <c r="T1225" t="s">
        <v>42</v>
      </c>
      <c r="U1225" t="s">
        <v>1089</v>
      </c>
      <c r="V1225" t="s">
        <v>636</v>
      </c>
      <c r="W1225" t="s">
        <v>1089</v>
      </c>
      <c r="X1225" t="s">
        <v>824</v>
      </c>
      <c r="Y1225" t="s">
        <v>1066</v>
      </c>
      <c r="Z1225" t="s">
        <v>47</v>
      </c>
      <c r="AA1225"/>
      <c r="AB1225"/>
      <c r="AC1225"/>
      <c r="AD1225" t="s">
        <v>638</v>
      </c>
    </row>
    <row r="1226" spans="1:30">
      <c r="A1226">
        <v>3110110099</v>
      </c>
      <c r="B1226" t="s">
        <v>30</v>
      </c>
      <c r="C1226" t="s">
        <v>61</v>
      </c>
      <c r="D1226" t="s">
        <v>62</v>
      </c>
      <c r="E1226" t="s">
        <v>79</v>
      </c>
      <c r="F1226" t="s">
        <v>108</v>
      </c>
      <c r="G1226" t="s">
        <v>109</v>
      </c>
      <c r="H1226" t="s">
        <v>50</v>
      </c>
      <c r="I1226" t="s">
        <v>450</v>
      </c>
      <c r="J1226" t="s">
        <v>1216</v>
      </c>
      <c r="K1226" t="str">
        <f>"na"</f>
        <v>0</v>
      </c>
      <c r="L1226">
        <v>10000</v>
      </c>
      <c r="M1226"/>
      <c r="N1226" t="s">
        <v>38</v>
      </c>
      <c r="O1226" t="s">
        <v>38</v>
      </c>
      <c r="P1226" t="s">
        <v>53</v>
      </c>
      <c r="Q1226" t="s">
        <v>38</v>
      </c>
      <c r="R1226" t="s">
        <v>38</v>
      </c>
      <c r="S1226" t="s">
        <v>42</v>
      </c>
      <c r="T1226" t="s">
        <v>42</v>
      </c>
      <c r="U1226" t="s">
        <v>1089</v>
      </c>
      <c r="V1226" t="s">
        <v>636</v>
      </c>
      <c r="W1226" t="s">
        <v>1089</v>
      </c>
      <c r="X1226" t="s">
        <v>824</v>
      </c>
      <c r="Y1226" t="s">
        <v>1066</v>
      </c>
      <c r="Z1226" t="s">
        <v>47</v>
      </c>
      <c r="AA1226"/>
      <c r="AB1226"/>
      <c r="AC1226"/>
      <c r="AD1226" t="s">
        <v>638</v>
      </c>
    </row>
    <row r="1227" spans="1:30">
      <c r="A1227">
        <v>3110110109</v>
      </c>
      <c r="B1227" t="s">
        <v>30</v>
      </c>
      <c r="C1227" t="s">
        <v>61</v>
      </c>
      <c r="D1227" t="s">
        <v>62</v>
      </c>
      <c r="E1227" t="s">
        <v>79</v>
      </c>
      <c r="F1227" t="s">
        <v>108</v>
      </c>
      <c r="G1227" t="s">
        <v>109</v>
      </c>
      <c r="H1227" t="s">
        <v>50</v>
      </c>
      <c r="I1227" t="s">
        <v>450</v>
      </c>
      <c r="J1227" t="s">
        <v>1217</v>
      </c>
      <c r="K1227" t="str">
        <f>"na"</f>
        <v>0</v>
      </c>
      <c r="L1227">
        <v>10000</v>
      </c>
      <c r="M1227"/>
      <c r="N1227" t="s">
        <v>38</v>
      </c>
      <c r="O1227" t="s">
        <v>38</v>
      </c>
      <c r="P1227" t="s">
        <v>53</v>
      </c>
      <c r="Q1227" t="s">
        <v>38</v>
      </c>
      <c r="R1227" t="s">
        <v>38</v>
      </c>
      <c r="S1227" t="s">
        <v>42</v>
      </c>
      <c r="T1227" t="s">
        <v>42</v>
      </c>
      <c r="U1227" t="s">
        <v>1089</v>
      </c>
      <c r="V1227" t="s">
        <v>636</v>
      </c>
      <c r="W1227" t="s">
        <v>1089</v>
      </c>
      <c r="X1227" t="s">
        <v>824</v>
      </c>
      <c r="Y1227" t="s">
        <v>1066</v>
      </c>
      <c r="Z1227" t="s">
        <v>47</v>
      </c>
      <c r="AA1227"/>
      <c r="AB1227"/>
      <c r="AC1227"/>
      <c r="AD1227" t="s">
        <v>638</v>
      </c>
    </row>
    <row r="1228" spans="1:30">
      <c r="A1228">
        <v>4110030006</v>
      </c>
      <c r="B1228" t="s">
        <v>30</v>
      </c>
      <c r="C1228" t="s">
        <v>88</v>
      </c>
      <c r="D1228" t="s">
        <v>89</v>
      </c>
      <c r="E1228" t="s">
        <v>509</v>
      </c>
      <c r="F1228" t="s">
        <v>108</v>
      </c>
      <c r="G1228" t="s">
        <v>109</v>
      </c>
      <c r="H1228" t="s">
        <v>50</v>
      </c>
      <c r="I1228" t="s">
        <v>375</v>
      </c>
      <c r="J1228" t="s">
        <v>949</v>
      </c>
      <c r="K1228" t="str">
        <f>"n/a"</f>
        <v>0</v>
      </c>
      <c r="L1228">
        <v>10000</v>
      </c>
      <c r="M1228"/>
      <c r="N1228" t="s">
        <v>38</v>
      </c>
      <c r="O1228" t="s">
        <v>38</v>
      </c>
      <c r="P1228" t="s">
        <v>53</v>
      </c>
      <c r="Q1228" t="s">
        <v>38</v>
      </c>
      <c r="R1228" t="s">
        <v>38</v>
      </c>
      <c r="S1228" t="s">
        <v>42</v>
      </c>
      <c r="T1228" t="s">
        <v>42</v>
      </c>
      <c r="U1228" t="s">
        <v>1089</v>
      </c>
      <c r="V1228" t="s">
        <v>1068</v>
      </c>
      <c r="W1228" t="s">
        <v>1089</v>
      </c>
      <c r="X1228" t="s">
        <v>824</v>
      </c>
      <c r="Y1228" t="s">
        <v>1089</v>
      </c>
      <c r="Z1228" t="s">
        <v>47</v>
      </c>
      <c r="AA1228"/>
      <c r="AB1228"/>
      <c r="AC1228"/>
      <c r="AD1228" t="s">
        <v>638</v>
      </c>
    </row>
    <row r="1229" spans="1:30">
      <c r="A1229">
        <v>4110030007</v>
      </c>
      <c r="B1229" t="s">
        <v>30</v>
      </c>
      <c r="C1229" t="s">
        <v>88</v>
      </c>
      <c r="D1229" t="s">
        <v>89</v>
      </c>
      <c r="E1229" t="s">
        <v>509</v>
      </c>
      <c r="F1229" t="s">
        <v>108</v>
      </c>
      <c r="G1229" t="s">
        <v>109</v>
      </c>
      <c r="H1229" t="s">
        <v>50</v>
      </c>
      <c r="I1229" t="s">
        <v>375</v>
      </c>
      <c r="J1229" t="s">
        <v>949</v>
      </c>
      <c r="K1229" t="str">
        <f>"n/a"</f>
        <v>0</v>
      </c>
      <c r="L1229">
        <v>10000</v>
      </c>
      <c r="M1229"/>
      <c r="N1229" t="s">
        <v>38</v>
      </c>
      <c r="O1229" t="s">
        <v>38</v>
      </c>
      <c r="P1229" t="s">
        <v>53</v>
      </c>
      <c r="Q1229" t="s">
        <v>38</v>
      </c>
      <c r="R1229" t="s">
        <v>38</v>
      </c>
      <c r="S1229" t="s">
        <v>42</v>
      </c>
      <c r="T1229" t="s">
        <v>42</v>
      </c>
      <c r="U1229" t="s">
        <v>1089</v>
      </c>
      <c r="V1229" t="s">
        <v>1068</v>
      </c>
      <c r="W1229" t="s">
        <v>1089</v>
      </c>
      <c r="X1229" t="s">
        <v>824</v>
      </c>
      <c r="Y1229" t="s">
        <v>1089</v>
      </c>
      <c r="Z1229" t="s">
        <v>47</v>
      </c>
      <c r="AA1229"/>
      <c r="AB1229"/>
      <c r="AC1229"/>
      <c r="AD1229" t="s">
        <v>638</v>
      </c>
    </row>
    <row r="1230" spans="1:30">
      <c r="A1230">
        <v>4110030023</v>
      </c>
      <c r="B1230" t="s">
        <v>30</v>
      </c>
      <c r="C1230" t="s">
        <v>88</v>
      </c>
      <c r="D1230" t="s">
        <v>89</v>
      </c>
      <c r="E1230" t="s">
        <v>79</v>
      </c>
      <c r="F1230" t="s">
        <v>108</v>
      </c>
      <c r="G1230" t="s">
        <v>109</v>
      </c>
      <c r="H1230" t="s">
        <v>50</v>
      </c>
      <c r="I1230" t="s">
        <v>375</v>
      </c>
      <c r="J1230" t="s">
        <v>949</v>
      </c>
      <c r="K1230" t="str">
        <f>"n/a"</f>
        <v>0</v>
      </c>
      <c r="L1230">
        <v>10000</v>
      </c>
      <c r="M1230"/>
      <c r="N1230" t="s">
        <v>38</v>
      </c>
      <c r="O1230" t="s">
        <v>38</v>
      </c>
      <c r="P1230" t="s">
        <v>53</v>
      </c>
      <c r="Q1230" t="s">
        <v>38</v>
      </c>
      <c r="R1230" t="s">
        <v>38</v>
      </c>
      <c r="S1230" t="s">
        <v>42</v>
      </c>
      <c r="T1230" t="s">
        <v>42</v>
      </c>
      <c r="U1230" t="s">
        <v>1089</v>
      </c>
      <c r="V1230" t="s">
        <v>1068</v>
      </c>
      <c r="W1230" t="s">
        <v>1089</v>
      </c>
      <c r="X1230" t="s">
        <v>824</v>
      </c>
      <c r="Y1230" t="s">
        <v>1089</v>
      </c>
      <c r="Z1230" t="s">
        <v>47</v>
      </c>
      <c r="AA1230"/>
      <c r="AB1230"/>
      <c r="AC1230"/>
      <c r="AD1230" t="s">
        <v>638</v>
      </c>
    </row>
    <row r="1231" spans="1:30">
      <c r="A1231">
        <v>4110030017</v>
      </c>
      <c r="B1231" t="s">
        <v>30</v>
      </c>
      <c r="C1231" t="s">
        <v>88</v>
      </c>
      <c r="D1231" t="s">
        <v>89</v>
      </c>
      <c r="E1231" t="s">
        <v>658</v>
      </c>
      <c r="F1231" t="s">
        <v>108</v>
      </c>
      <c r="G1231" t="s">
        <v>109</v>
      </c>
      <c r="H1231" t="s">
        <v>50</v>
      </c>
      <c r="I1231" t="s">
        <v>375</v>
      </c>
      <c r="J1231" t="s">
        <v>949</v>
      </c>
      <c r="K1231" t="str">
        <f>"n/a"</f>
        <v>0</v>
      </c>
      <c r="L1231">
        <v>10000</v>
      </c>
      <c r="M1231"/>
      <c r="N1231" t="s">
        <v>38</v>
      </c>
      <c r="O1231" t="s">
        <v>38</v>
      </c>
      <c r="P1231" t="s">
        <v>53</v>
      </c>
      <c r="Q1231" t="s">
        <v>38</v>
      </c>
      <c r="R1231" t="s">
        <v>38</v>
      </c>
      <c r="S1231" t="s">
        <v>42</v>
      </c>
      <c r="T1231" t="s">
        <v>42</v>
      </c>
      <c r="U1231" t="s">
        <v>1089</v>
      </c>
      <c r="V1231" t="s">
        <v>1068</v>
      </c>
      <c r="W1231" t="s">
        <v>1089</v>
      </c>
      <c r="X1231" t="s">
        <v>824</v>
      </c>
      <c r="Y1231" t="s">
        <v>1089</v>
      </c>
      <c r="Z1231" t="s">
        <v>47</v>
      </c>
      <c r="AA1231"/>
      <c r="AB1231"/>
      <c r="AC1231"/>
      <c r="AD1231" t="s">
        <v>638</v>
      </c>
    </row>
    <row r="1232" spans="1:30">
      <c r="A1232">
        <v>3110110077</v>
      </c>
      <c r="B1232" t="s">
        <v>30</v>
      </c>
      <c r="C1232" t="s">
        <v>61</v>
      </c>
      <c r="D1232" t="s">
        <v>62</v>
      </c>
      <c r="E1232" t="s">
        <v>55</v>
      </c>
      <c r="F1232" t="s">
        <v>56</v>
      </c>
      <c r="G1232" t="s">
        <v>57</v>
      </c>
      <c r="H1232" t="s">
        <v>50</v>
      </c>
      <c r="I1232" t="s">
        <v>1218</v>
      </c>
      <c r="J1232" t="s">
        <v>315</v>
      </c>
      <c r="K1232" t="str">
        <f>"na"</f>
        <v>0</v>
      </c>
      <c r="L1232">
        <v>72269</v>
      </c>
      <c r="M1232"/>
      <c r="N1232" t="s">
        <v>38</v>
      </c>
      <c r="O1232" t="s">
        <v>38</v>
      </c>
      <c r="P1232" t="s">
        <v>53</v>
      </c>
      <c r="Q1232" t="s">
        <v>38</v>
      </c>
      <c r="R1232" t="s">
        <v>38</v>
      </c>
      <c r="S1232" t="s">
        <v>42</v>
      </c>
      <c r="T1232" t="s">
        <v>42</v>
      </c>
      <c r="U1232" t="s">
        <v>1089</v>
      </c>
      <c r="V1232" t="s">
        <v>636</v>
      </c>
      <c r="W1232" t="s">
        <v>1089</v>
      </c>
      <c r="X1232" t="s">
        <v>824</v>
      </c>
      <c r="Y1232" t="s">
        <v>1066</v>
      </c>
      <c r="Z1232" t="s">
        <v>47</v>
      </c>
      <c r="AA1232"/>
      <c r="AB1232"/>
      <c r="AC1232"/>
      <c r="AD1232" t="s">
        <v>638</v>
      </c>
    </row>
    <row r="1233" spans="1:30">
      <c r="A1233">
        <v>4110050010</v>
      </c>
      <c r="B1233" t="s">
        <v>30</v>
      </c>
      <c r="C1233" t="s">
        <v>88</v>
      </c>
      <c r="D1233" t="s">
        <v>165</v>
      </c>
      <c r="E1233" t="s">
        <v>79</v>
      </c>
      <c r="F1233" t="s">
        <v>56</v>
      </c>
      <c r="G1233" t="s">
        <v>283</v>
      </c>
      <c r="H1233" t="s">
        <v>50</v>
      </c>
      <c r="I1233" t="s">
        <v>375</v>
      </c>
      <c r="J1233" t="s">
        <v>315</v>
      </c>
      <c r="K1233" t="str">
        <f>"n/a"</f>
        <v>0</v>
      </c>
      <c r="L1233">
        <v>10000</v>
      </c>
      <c r="M1233"/>
      <c r="N1233" t="s">
        <v>38</v>
      </c>
      <c r="O1233" t="s">
        <v>38</v>
      </c>
      <c r="P1233" t="s">
        <v>53</v>
      </c>
      <c r="Q1233" t="s">
        <v>38</v>
      </c>
      <c r="R1233" t="s">
        <v>38</v>
      </c>
      <c r="S1233" t="s">
        <v>42</v>
      </c>
      <c r="T1233" t="s">
        <v>42</v>
      </c>
      <c r="U1233" t="s">
        <v>1089</v>
      </c>
      <c r="V1233" t="s">
        <v>1068</v>
      </c>
      <c r="W1233" t="s">
        <v>1089</v>
      </c>
      <c r="X1233" t="s">
        <v>824</v>
      </c>
      <c r="Y1233" t="s">
        <v>1066</v>
      </c>
      <c r="Z1233" t="s">
        <v>47</v>
      </c>
      <c r="AA1233"/>
      <c r="AB1233"/>
      <c r="AC1233"/>
      <c r="AD1233" t="s">
        <v>638</v>
      </c>
    </row>
    <row r="1234" spans="1:30">
      <c r="A1234">
        <v>3110110080</v>
      </c>
      <c r="B1234" t="s">
        <v>30</v>
      </c>
      <c r="C1234" t="s">
        <v>61</v>
      </c>
      <c r="D1234" t="s">
        <v>62</v>
      </c>
      <c r="E1234" t="s">
        <v>55</v>
      </c>
      <c r="F1234" t="s">
        <v>56</v>
      </c>
      <c r="G1234" t="s">
        <v>57</v>
      </c>
      <c r="H1234" t="s">
        <v>50</v>
      </c>
      <c r="I1234" t="s">
        <v>58</v>
      </c>
      <c r="J1234" t="s">
        <v>59</v>
      </c>
      <c r="K1234" t="str">
        <f>"na"</f>
        <v>0</v>
      </c>
      <c r="L1234">
        <v>72269</v>
      </c>
      <c r="M1234"/>
      <c r="N1234" t="s">
        <v>38</v>
      </c>
      <c r="O1234" t="s">
        <v>38</v>
      </c>
      <c r="P1234" t="s">
        <v>53</v>
      </c>
      <c r="Q1234" t="s">
        <v>38</v>
      </c>
      <c r="R1234" t="s">
        <v>38</v>
      </c>
      <c r="S1234" t="s">
        <v>42</v>
      </c>
      <c r="T1234" t="s">
        <v>42</v>
      </c>
      <c r="U1234" t="s">
        <v>1089</v>
      </c>
      <c r="V1234" t="s">
        <v>636</v>
      </c>
      <c r="W1234" t="s">
        <v>1089</v>
      </c>
      <c r="X1234" t="s">
        <v>824</v>
      </c>
      <c r="Y1234" t="s">
        <v>1066</v>
      </c>
      <c r="Z1234" t="s">
        <v>47</v>
      </c>
      <c r="AA1234"/>
      <c r="AB1234"/>
      <c r="AC1234"/>
      <c r="AD1234" t="s">
        <v>638</v>
      </c>
    </row>
    <row r="1235" spans="1:30">
      <c r="A1235">
        <v>3110110081</v>
      </c>
      <c r="B1235" t="s">
        <v>30</v>
      </c>
      <c r="C1235" t="s">
        <v>61</v>
      </c>
      <c r="D1235" t="s">
        <v>62</v>
      </c>
      <c r="E1235" t="s">
        <v>55</v>
      </c>
      <c r="F1235" t="s">
        <v>56</v>
      </c>
      <c r="G1235" t="s">
        <v>284</v>
      </c>
      <c r="H1235" t="s">
        <v>50</v>
      </c>
      <c r="I1235" t="s">
        <v>450</v>
      </c>
      <c r="J1235" t="s">
        <v>59</v>
      </c>
      <c r="K1235" t="str">
        <f>"na"</f>
        <v>0</v>
      </c>
      <c r="L1235">
        <v>350000</v>
      </c>
      <c r="M1235"/>
      <c r="N1235" t="s">
        <v>38</v>
      </c>
      <c r="O1235" t="s">
        <v>38</v>
      </c>
      <c r="P1235" t="s">
        <v>53</v>
      </c>
      <c r="Q1235" t="s">
        <v>38</v>
      </c>
      <c r="R1235" t="s">
        <v>38</v>
      </c>
      <c r="S1235" t="s">
        <v>42</v>
      </c>
      <c r="T1235" t="s">
        <v>42</v>
      </c>
      <c r="U1235" t="s">
        <v>1089</v>
      </c>
      <c r="V1235" t="s">
        <v>636</v>
      </c>
      <c r="W1235" t="s">
        <v>1089</v>
      </c>
      <c r="X1235" t="s">
        <v>824</v>
      </c>
      <c r="Y1235" t="s">
        <v>1066</v>
      </c>
      <c r="Z1235" t="s">
        <v>47</v>
      </c>
      <c r="AA1235"/>
      <c r="AB1235"/>
      <c r="AC1235"/>
      <c r="AD1235" t="s">
        <v>710</v>
      </c>
    </row>
    <row r="1236" spans="1:30">
      <c r="A1236">
        <v>3110110110</v>
      </c>
      <c r="B1236" t="s">
        <v>30</v>
      </c>
      <c r="C1236" t="s">
        <v>61</v>
      </c>
      <c r="D1236" t="s">
        <v>62</v>
      </c>
      <c r="E1236" t="s">
        <v>79</v>
      </c>
      <c r="F1236" t="s">
        <v>56</v>
      </c>
      <c r="G1236" t="s">
        <v>1219</v>
      </c>
      <c r="H1236" t="s">
        <v>50</v>
      </c>
      <c r="I1236" t="s">
        <v>780</v>
      </c>
      <c r="J1236" t="s">
        <v>1220</v>
      </c>
      <c r="K1236" t="str">
        <f>"na"</f>
        <v>0</v>
      </c>
      <c r="L1236">
        <v>5000</v>
      </c>
      <c r="M1236"/>
      <c r="N1236" t="s">
        <v>38</v>
      </c>
      <c r="O1236" t="s">
        <v>38</v>
      </c>
      <c r="P1236" t="s">
        <v>53</v>
      </c>
      <c r="Q1236" t="s">
        <v>38</v>
      </c>
      <c r="R1236" t="s">
        <v>38</v>
      </c>
      <c r="S1236" t="s">
        <v>42</v>
      </c>
      <c r="T1236" t="s">
        <v>42</v>
      </c>
      <c r="U1236" t="s">
        <v>1089</v>
      </c>
      <c r="V1236" t="s">
        <v>636</v>
      </c>
      <c r="W1236" t="s">
        <v>1089</v>
      </c>
      <c r="X1236" t="s">
        <v>824</v>
      </c>
      <c r="Y1236" t="s">
        <v>1066</v>
      </c>
      <c r="Z1236" t="s">
        <v>47</v>
      </c>
      <c r="AA1236"/>
      <c r="AB1236"/>
      <c r="AC1236"/>
      <c r="AD1236" t="s">
        <v>638</v>
      </c>
    </row>
    <row r="1237" spans="1:30">
      <c r="A1237">
        <v>3110110111</v>
      </c>
      <c r="B1237" t="s">
        <v>30</v>
      </c>
      <c r="C1237" t="s">
        <v>61</v>
      </c>
      <c r="D1237" t="s">
        <v>62</v>
      </c>
      <c r="E1237" t="s">
        <v>48</v>
      </c>
      <c r="F1237" t="s">
        <v>48</v>
      </c>
      <c r="G1237" t="s">
        <v>530</v>
      </c>
      <c r="H1237" t="s">
        <v>50</v>
      </c>
      <c r="I1237" t="s">
        <v>64</v>
      </c>
      <c r="J1237" t="s">
        <v>315</v>
      </c>
      <c r="K1237" t="str">
        <f>"na"</f>
        <v>0</v>
      </c>
      <c r="L1237">
        <v>48000</v>
      </c>
      <c r="M1237"/>
      <c r="N1237" t="s">
        <v>38</v>
      </c>
      <c r="O1237" t="s">
        <v>38</v>
      </c>
      <c r="P1237" t="s">
        <v>53</v>
      </c>
      <c r="Q1237" t="s">
        <v>38</v>
      </c>
      <c r="R1237" t="s">
        <v>38</v>
      </c>
      <c r="S1237" t="s">
        <v>42</v>
      </c>
      <c r="T1237" t="s">
        <v>42</v>
      </c>
      <c r="U1237" t="s">
        <v>1089</v>
      </c>
      <c r="V1237" t="s">
        <v>636</v>
      </c>
      <c r="W1237" t="s">
        <v>1089</v>
      </c>
      <c r="X1237" t="s">
        <v>824</v>
      </c>
      <c r="Y1237" t="s">
        <v>1066</v>
      </c>
      <c r="Z1237" t="s">
        <v>47</v>
      </c>
      <c r="AA1237"/>
      <c r="AB1237"/>
      <c r="AC1237"/>
      <c r="AD1237" t="s">
        <v>638</v>
      </c>
    </row>
    <row r="1238" spans="1:30">
      <c r="A1238">
        <v>3110110112</v>
      </c>
      <c r="B1238" t="s">
        <v>30</v>
      </c>
      <c r="C1238" t="s">
        <v>61</v>
      </c>
      <c r="D1238" t="s">
        <v>62</v>
      </c>
      <c r="E1238" t="s">
        <v>79</v>
      </c>
      <c r="F1238" t="s">
        <v>64</v>
      </c>
      <c r="G1238" t="s">
        <v>99</v>
      </c>
      <c r="H1238" t="s">
        <v>50</v>
      </c>
      <c r="I1238" t="s">
        <v>227</v>
      </c>
      <c r="J1238" t="s">
        <v>297</v>
      </c>
      <c r="K1238" t="str">
        <f>"210510757"</f>
        <v>0</v>
      </c>
      <c r="L1238">
        <v>38047</v>
      </c>
      <c r="M1238"/>
      <c r="N1238" t="s">
        <v>38</v>
      </c>
      <c r="O1238" t="s">
        <v>38</v>
      </c>
      <c r="P1238" t="s">
        <v>53</v>
      </c>
      <c r="Q1238" t="s">
        <v>38</v>
      </c>
      <c r="R1238" t="s">
        <v>38</v>
      </c>
      <c r="S1238" t="s">
        <v>42</v>
      </c>
      <c r="T1238" t="s">
        <v>42</v>
      </c>
      <c r="U1238" t="s">
        <v>1089</v>
      </c>
      <c r="V1238" t="s">
        <v>636</v>
      </c>
      <c r="W1238" t="s">
        <v>1089</v>
      </c>
      <c r="X1238" t="s">
        <v>824</v>
      </c>
      <c r="Y1238" t="s">
        <v>1066</v>
      </c>
      <c r="Z1238" t="s">
        <v>47</v>
      </c>
      <c r="AA1238"/>
      <c r="AB1238"/>
      <c r="AC1238"/>
      <c r="AD1238" t="s">
        <v>638</v>
      </c>
    </row>
    <row r="1239" spans="1:30">
      <c r="A1239">
        <v>3110110113</v>
      </c>
      <c r="B1239" t="s">
        <v>30</v>
      </c>
      <c r="C1239" t="s">
        <v>61</v>
      </c>
      <c r="D1239" t="s">
        <v>62</v>
      </c>
      <c r="E1239" t="s">
        <v>135</v>
      </c>
      <c r="F1239" t="s">
        <v>48</v>
      </c>
      <c r="G1239" t="s">
        <v>294</v>
      </c>
      <c r="H1239" t="s">
        <v>50</v>
      </c>
      <c r="I1239" t="s">
        <v>892</v>
      </c>
      <c r="J1239" t="s">
        <v>1221</v>
      </c>
      <c r="K1239" t="str">
        <f>"na"</f>
        <v>0</v>
      </c>
      <c r="L1239">
        <v>15000</v>
      </c>
      <c r="M1239"/>
      <c r="N1239" t="s">
        <v>38</v>
      </c>
      <c r="O1239" t="s">
        <v>38</v>
      </c>
      <c r="P1239" t="s">
        <v>53</v>
      </c>
      <c r="Q1239" t="s">
        <v>38</v>
      </c>
      <c r="R1239" t="s">
        <v>38</v>
      </c>
      <c r="S1239" t="s">
        <v>42</v>
      </c>
      <c r="T1239" t="s">
        <v>42</v>
      </c>
      <c r="U1239" t="s">
        <v>1089</v>
      </c>
      <c r="V1239" t="s">
        <v>636</v>
      </c>
      <c r="W1239" t="s">
        <v>1089</v>
      </c>
      <c r="X1239" t="s">
        <v>824</v>
      </c>
      <c r="Y1239" t="s">
        <v>1066</v>
      </c>
      <c r="Z1239" t="s">
        <v>47</v>
      </c>
      <c r="AA1239"/>
      <c r="AB1239"/>
      <c r="AC1239"/>
      <c r="AD1239" t="s">
        <v>638</v>
      </c>
    </row>
    <row r="1240" spans="1:30">
      <c r="A1240">
        <v>2110060058</v>
      </c>
      <c r="B1240" t="s">
        <v>30</v>
      </c>
      <c r="C1240" t="s">
        <v>31</v>
      </c>
      <c r="D1240" t="s">
        <v>32</v>
      </c>
      <c r="E1240" t="s">
        <v>868</v>
      </c>
      <c r="F1240" t="s">
        <v>108</v>
      </c>
      <c r="G1240" t="s">
        <v>109</v>
      </c>
      <c r="H1240" t="s">
        <v>50</v>
      </c>
      <c r="I1240" t="s">
        <v>496</v>
      </c>
      <c r="J1240" t="s">
        <v>315</v>
      </c>
      <c r="K1240" t="str">
        <f>"NA"</f>
        <v>0</v>
      </c>
      <c r="L1240">
        <v>10000</v>
      </c>
      <c r="M1240"/>
      <c r="N1240" t="s">
        <v>1222</v>
      </c>
      <c r="O1240" t="s">
        <v>38</v>
      </c>
      <c r="P1240" t="s">
        <v>53</v>
      </c>
      <c r="Q1240" t="s">
        <v>38</v>
      </c>
      <c r="R1240" t="s">
        <v>38</v>
      </c>
      <c r="S1240" t="s">
        <v>42</v>
      </c>
      <c r="T1240" t="s">
        <v>42</v>
      </c>
      <c r="U1240" t="s">
        <v>1223</v>
      </c>
      <c r="V1240" t="s">
        <v>636</v>
      </c>
      <c r="W1240" t="s">
        <v>1223</v>
      </c>
      <c r="X1240" t="s">
        <v>824</v>
      </c>
      <c r="Y1240" t="s">
        <v>861</v>
      </c>
      <c r="Z1240" t="s">
        <v>47</v>
      </c>
      <c r="AA1240"/>
      <c r="AB1240"/>
      <c r="AC1240"/>
      <c r="AD1240" t="s">
        <v>638</v>
      </c>
    </row>
    <row r="1241" spans="1:30">
      <c r="A1241">
        <v>2110060124</v>
      </c>
      <c r="B1241" t="s">
        <v>30</v>
      </c>
      <c r="C1241" t="s">
        <v>31</v>
      </c>
      <c r="D1241" t="s">
        <v>32</v>
      </c>
      <c r="E1241" t="s">
        <v>72</v>
      </c>
      <c r="F1241" t="s">
        <v>108</v>
      </c>
      <c r="G1241" t="s">
        <v>109</v>
      </c>
      <c r="H1241" t="s">
        <v>50</v>
      </c>
      <c r="I1241" t="s">
        <v>100</v>
      </c>
      <c r="J1241" t="s">
        <v>315</v>
      </c>
      <c r="K1241" t="str">
        <f>"NA"</f>
        <v>0</v>
      </c>
      <c r="L1241">
        <v>10000</v>
      </c>
      <c r="M1241"/>
      <c r="N1241" t="s">
        <v>1224</v>
      </c>
      <c r="O1241" t="s">
        <v>38</v>
      </c>
      <c r="P1241" t="s">
        <v>53</v>
      </c>
      <c r="Q1241" t="s">
        <v>38</v>
      </c>
      <c r="R1241" t="s">
        <v>38</v>
      </c>
      <c r="S1241" t="s">
        <v>42</v>
      </c>
      <c r="T1241" t="s">
        <v>42</v>
      </c>
      <c r="U1241" t="s">
        <v>1223</v>
      </c>
      <c r="V1241" t="s">
        <v>636</v>
      </c>
      <c r="W1241" t="s">
        <v>1223</v>
      </c>
      <c r="X1241" t="s">
        <v>824</v>
      </c>
      <c r="Y1241" t="s">
        <v>895</v>
      </c>
      <c r="Z1241" t="s">
        <v>47</v>
      </c>
      <c r="AA1241"/>
      <c r="AB1241"/>
      <c r="AC1241"/>
      <c r="AD1241" t="s">
        <v>1225</v>
      </c>
    </row>
    <row r="1242" spans="1:30">
      <c r="A1242">
        <v>3110100003</v>
      </c>
      <c r="B1242" t="s">
        <v>30</v>
      </c>
      <c r="C1242" t="s">
        <v>61</v>
      </c>
      <c r="D1242" t="s">
        <v>71</v>
      </c>
      <c r="E1242" t="s">
        <v>55</v>
      </c>
      <c r="F1242" t="s">
        <v>108</v>
      </c>
      <c r="G1242" t="s">
        <v>109</v>
      </c>
      <c r="H1242" t="s">
        <v>50</v>
      </c>
      <c r="I1242" t="s">
        <v>1214</v>
      </c>
      <c r="J1242" t="s">
        <v>1226</v>
      </c>
      <c r="K1242" t="str">
        <f>"na"</f>
        <v>0</v>
      </c>
      <c r="L1242">
        <v>39732</v>
      </c>
      <c r="M1242"/>
      <c r="N1242" t="s">
        <v>38</v>
      </c>
      <c r="O1242" t="s">
        <v>38</v>
      </c>
      <c r="P1242" t="s">
        <v>53</v>
      </c>
      <c r="Q1242" t="s">
        <v>38</v>
      </c>
      <c r="R1242" t="s">
        <v>38</v>
      </c>
      <c r="S1242" t="s">
        <v>42</v>
      </c>
      <c r="T1242" t="s">
        <v>42</v>
      </c>
      <c r="U1242" t="s">
        <v>1223</v>
      </c>
      <c r="V1242" t="s">
        <v>925</v>
      </c>
      <c r="W1242" t="s">
        <v>1223</v>
      </c>
      <c r="X1242" t="s">
        <v>824</v>
      </c>
      <c r="Y1242" t="s">
        <v>926</v>
      </c>
      <c r="Z1242" t="s">
        <v>47</v>
      </c>
      <c r="AA1242"/>
      <c r="AB1242"/>
      <c r="AC1242"/>
      <c r="AD1242"/>
    </row>
    <row r="1243" spans="1:30">
      <c r="A1243">
        <v>3110100004</v>
      </c>
      <c r="B1243" t="s">
        <v>30</v>
      </c>
      <c r="C1243" t="s">
        <v>61</v>
      </c>
      <c r="D1243" t="s">
        <v>71</v>
      </c>
      <c r="E1243" t="s">
        <v>55</v>
      </c>
      <c r="F1243" t="s">
        <v>108</v>
      </c>
      <c r="G1243" t="s">
        <v>109</v>
      </c>
      <c r="H1243" t="s">
        <v>50</v>
      </c>
      <c r="I1243" t="s">
        <v>1214</v>
      </c>
      <c r="J1243" t="s">
        <v>1226</v>
      </c>
      <c r="K1243" t="str">
        <f>"na"</f>
        <v>0</v>
      </c>
      <c r="L1243">
        <v>39732</v>
      </c>
      <c r="M1243"/>
      <c r="N1243" t="s">
        <v>38</v>
      </c>
      <c r="O1243" t="s">
        <v>38</v>
      </c>
      <c r="P1243" t="s">
        <v>53</v>
      </c>
      <c r="Q1243" t="s">
        <v>38</v>
      </c>
      <c r="R1243" t="s">
        <v>38</v>
      </c>
      <c r="S1243" t="s">
        <v>42</v>
      </c>
      <c r="T1243" t="s">
        <v>42</v>
      </c>
      <c r="U1243" t="s">
        <v>1223</v>
      </c>
      <c r="V1243" t="s">
        <v>925</v>
      </c>
      <c r="W1243" t="s">
        <v>1223</v>
      </c>
      <c r="X1243" t="s">
        <v>824</v>
      </c>
      <c r="Y1243" t="s">
        <v>926</v>
      </c>
      <c r="Z1243" t="s">
        <v>47</v>
      </c>
      <c r="AA1243"/>
      <c r="AB1243"/>
      <c r="AC1243"/>
      <c r="AD1243"/>
    </row>
    <row r="1244" spans="1:30">
      <c r="A1244">
        <v>3110100020</v>
      </c>
      <c r="B1244" t="s">
        <v>30</v>
      </c>
      <c r="C1244" t="s">
        <v>61</v>
      </c>
      <c r="D1244" t="s">
        <v>71</v>
      </c>
      <c r="E1244" t="s">
        <v>55</v>
      </c>
      <c r="F1244" t="s">
        <v>108</v>
      </c>
      <c r="G1244" t="s">
        <v>109</v>
      </c>
      <c r="H1244" t="s">
        <v>50</v>
      </c>
      <c r="I1244" t="s">
        <v>1227</v>
      </c>
      <c r="J1244" t="s">
        <v>315</v>
      </c>
      <c r="K1244" t="str">
        <f>"na"</f>
        <v>0</v>
      </c>
      <c r="L1244">
        <v>10000</v>
      </c>
      <c r="M1244"/>
      <c r="N1244" t="s">
        <v>38</v>
      </c>
      <c r="O1244" t="s">
        <v>38</v>
      </c>
      <c r="P1244" t="s">
        <v>53</v>
      </c>
      <c r="Q1244" t="s">
        <v>38</v>
      </c>
      <c r="R1244" t="s">
        <v>38</v>
      </c>
      <c r="S1244" t="s">
        <v>42</v>
      </c>
      <c r="T1244" t="s">
        <v>42</v>
      </c>
      <c r="U1244" t="s">
        <v>1223</v>
      </c>
      <c r="V1244" t="s">
        <v>925</v>
      </c>
      <c r="W1244" t="s">
        <v>1223</v>
      </c>
      <c r="X1244" t="s">
        <v>824</v>
      </c>
      <c r="Y1244" t="s">
        <v>926</v>
      </c>
      <c r="Z1244" t="s">
        <v>47</v>
      </c>
      <c r="AA1244"/>
      <c r="AB1244"/>
      <c r="AC1244"/>
      <c r="AD1244"/>
    </row>
    <row r="1245" spans="1:30">
      <c r="A1245">
        <v>3110100050</v>
      </c>
      <c r="B1245" t="s">
        <v>30</v>
      </c>
      <c r="C1245" t="s">
        <v>61</v>
      </c>
      <c r="D1245" t="s">
        <v>71</v>
      </c>
      <c r="E1245" t="s">
        <v>79</v>
      </c>
      <c r="F1245" t="s">
        <v>108</v>
      </c>
      <c r="G1245" t="s">
        <v>109</v>
      </c>
      <c r="H1245" t="s">
        <v>50</v>
      </c>
      <c r="I1245" t="s">
        <v>64</v>
      </c>
      <c r="J1245" t="s">
        <v>315</v>
      </c>
      <c r="K1245" t="str">
        <f>"na"</f>
        <v>0</v>
      </c>
      <c r="L1245">
        <v>10000</v>
      </c>
      <c r="M1245"/>
      <c r="N1245" t="s">
        <v>38</v>
      </c>
      <c r="O1245" t="s">
        <v>38</v>
      </c>
      <c r="P1245" t="s">
        <v>53</v>
      </c>
      <c r="Q1245" t="s">
        <v>38</v>
      </c>
      <c r="R1245" t="s">
        <v>38</v>
      </c>
      <c r="S1245" t="s">
        <v>42</v>
      </c>
      <c r="T1245" t="s">
        <v>42</v>
      </c>
      <c r="U1245" t="s">
        <v>1223</v>
      </c>
      <c r="V1245" t="s">
        <v>925</v>
      </c>
      <c r="W1245" t="s">
        <v>1223</v>
      </c>
      <c r="X1245" t="s">
        <v>824</v>
      </c>
      <c r="Y1245" t="s">
        <v>926</v>
      </c>
      <c r="Z1245" t="s">
        <v>47</v>
      </c>
      <c r="AA1245"/>
      <c r="AB1245"/>
      <c r="AC1245"/>
      <c r="AD1245"/>
    </row>
    <row r="1246" spans="1:30">
      <c r="A1246">
        <v>3110100093</v>
      </c>
      <c r="B1246" t="s">
        <v>30</v>
      </c>
      <c r="C1246" t="s">
        <v>61</v>
      </c>
      <c r="D1246" t="s">
        <v>71</v>
      </c>
      <c r="E1246" t="s">
        <v>72</v>
      </c>
      <c r="F1246" t="s">
        <v>108</v>
      </c>
      <c r="G1246" t="s">
        <v>109</v>
      </c>
      <c r="H1246" t="s">
        <v>50</v>
      </c>
      <c r="I1246" t="s">
        <v>1228</v>
      </c>
      <c r="J1246" t="s">
        <v>315</v>
      </c>
      <c r="K1246" t="str">
        <f>"NA"</f>
        <v>0</v>
      </c>
      <c r="L1246">
        <v>10000</v>
      </c>
      <c r="M1246"/>
      <c r="N1246" t="s">
        <v>38</v>
      </c>
      <c r="O1246" t="s">
        <v>38</v>
      </c>
      <c r="P1246" t="s">
        <v>53</v>
      </c>
      <c r="Q1246" t="s">
        <v>38</v>
      </c>
      <c r="R1246" t="s">
        <v>38</v>
      </c>
      <c r="S1246" t="s">
        <v>42</v>
      </c>
      <c r="T1246" t="s">
        <v>42</v>
      </c>
      <c r="U1246" t="s">
        <v>1223</v>
      </c>
      <c r="V1246" t="s">
        <v>636</v>
      </c>
      <c r="W1246" t="s">
        <v>1223</v>
      </c>
      <c r="X1246" t="s">
        <v>824</v>
      </c>
      <c r="Y1246" t="s">
        <v>926</v>
      </c>
      <c r="Z1246" t="s">
        <v>47</v>
      </c>
      <c r="AA1246"/>
      <c r="AB1246"/>
      <c r="AC1246"/>
      <c r="AD1246" t="s">
        <v>638</v>
      </c>
    </row>
    <row r="1247" spans="1:30">
      <c r="A1247">
        <v>3110100095</v>
      </c>
      <c r="B1247" t="s">
        <v>30</v>
      </c>
      <c r="C1247" t="s">
        <v>61</v>
      </c>
      <c r="D1247" t="s">
        <v>71</v>
      </c>
      <c r="E1247" t="s">
        <v>72</v>
      </c>
      <c r="F1247" t="s">
        <v>108</v>
      </c>
      <c r="G1247" t="s">
        <v>109</v>
      </c>
      <c r="H1247" t="s">
        <v>50</v>
      </c>
      <c r="I1247" t="s">
        <v>100</v>
      </c>
      <c r="J1247" t="s">
        <v>315</v>
      </c>
      <c r="K1247" t="str">
        <f>"NA"</f>
        <v>0</v>
      </c>
      <c r="L1247">
        <v>10000</v>
      </c>
      <c r="M1247"/>
      <c r="N1247" t="s">
        <v>38</v>
      </c>
      <c r="O1247" t="s">
        <v>38</v>
      </c>
      <c r="P1247" t="s">
        <v>53</v>
      </c>
      <c r="Q1247" t="s">
        <v>38</v>
      </c>
      <c r="R1247" t="s">
        <v>38</v>
      </c>
      <c r="S1247" t="s">
        <v>42</v>
      </c>
      <c r="T1247" t="s">
        <v>42</v>
      </c>
      <c r="U1247" t="s">
        <v>1223</v>
      </c>
      <c r="V1247" t="s">
        <v>636</v>
      </c>
      <c r="W1247" t="s">
        <v>1223</v>
      </c>
      <c r="X1247" t="s">
        <v>824</v>
      </c>
      <c r="Y1247" t="s">
        <v>926</v>
      </c>
      <c r="Z1247" t="s">
        <v>47</v>
      </c>
      <c r="AA1247"/>
      <c r="AB1247"/>
      <c r="AC1247"/>
      <c r="AD1247" t="s">
        <v>638</v>
      </c>
    </row>
    <row r="1248" spans="1:30">
      <c r="A1248">
        <v>3110100094</v>
      </c>
      <c r="B1248" t="s">
        <v>30</v>
      </c>
      <c r="C1248" t="s">
        <v>61</v>
      </c>
      <c r="D1248" t="s">
        <v>71</v>
      </c>
      <c r="E1248" t="s">
        <v>72</v>
      </c>
      <c r="F1248" t="s">
        <v>108</v>
      </c>
      <c r="G1248" t="s">
        <v>109</v>
      </c>
      <c r="H1248" t="s">
        <v>50</v>
      </c>
      <c r="I1248" t="s">
        <v>1229</v>
      </c>
      <c r="J1248" t="s">
        <v>1230</v>
      </c>
      <c r="K1248" t="str">
        <f>"n/a"</f>
        <v>0</v>
      </c>
      <c r="L1248">
        <v>10000</v>
      </c>
      <c r="M1248"/>
      <c r="N1248" t="s">
        <v>38</v>
      </c>
      <c r="O1248" t="s">
        <v>38</v>
      </c>
      <c r="P1248" t="s">
        <v>53</v>
      </c>
      <c r="Q1248" t="s">
        <v>38</v>
      </c>
      <c r="R1248" t="s">
        <v>38</v>
      </c>
      <c r="S1248" t="s">
        <v>42</v>
      </c>
      <c r="T1248" t="s">
        <v>42</v>
      </c>
      <c r="U1248" t="s">
        <v>1223</v>
      </c>
      <c r="V1248" t="s">
        <v>925</v>
      </c>
      <c r="W1248" t="s">
        <v>1223</v>
      </c>
      <c r="X1248" t="s">
        <v>824</v>
      </c>
      <c r="Y1248" t="s">
        <v>926</v>
      </c>
      <c r="Z1248" t="s">
        <v>47</v>
      </c>
      <c r="AA1248"/>
      <c r="AB1248"/>
      <c r="AC1248"/>
      <c r="AD1248"/>
    </row>
    <row r="1249" spans="1:30">
      <c r="A1249">
        <v>3110100096</v>
      </c>
      <c r="B1249" t="s">
        <v>30</v>
      </c>
      <c r="C1249" t="s">
        <v>61</v>
      </c>
      <c r="D1249" t="s">
        <v>71</v>
      </c>
      <c r="E1249" t="s">
        <v>72</v>
      </c>
      <c r="F1249" t="s">
        <v>108</v>
      </c>
      <c r="G1249" t="s">
        <v>109</v>
      </c>
      <c r="H1249" t="s">
        <v>50</v>
      </c>
      <c r="I1249" t="s">
        <v>496</v>
      </c>
      <c r="J1249" t="s">
        <v>315</v>
      </c>
      <c r="K1249" t="str">
        <f>"na"</f>
        <v>0</v>
      </c>
      <c r="L1249">
        <v>10000</v>
      </c>
      <c r="M1249"/>
      <c r="N1249" t="s">
        <v>38</v>
      </c>
      <c r="O1249" t="s">
        <v>38</v>
      </c>
      <c r="P1249" t="s">
        <v>53</v>
      </c>
      <c r="Q1249" t="s">
        <v>38</v>
      </c>
      <c r="R1249" t="s">
        <v>38</v>
      </c>
      <c r="S1249" t="s">
        <v>42</v>
      </c>
      <c r="T1249" t="s">
        <v>42</v>
      </c>
      <c r="U1249" t="s">
        <v>1223</v>
      </c>
      <c r="V1249" t="s">
        <v>636</v>
      </c>
      <c r="W1249" t="s">
        <v>1223</v>
      </c>
      <c r="X1249" t="s">
        <v>824</v>
      </c>
      <c r="Y1249" t="s">
        <v>926</v>
      </c>
      <c r="Z1249" t="s">
        <v>47</v>
      </c>
      <c r="AA1249"/>
      <c r="AB1249"/>
      <c r="AC1249"/>
      <c r="AD1249" t="s">
        <v>638</v>
      </c>
    </row>
    <row r="1250" spans="1:30">
      <c r="A1250">
        <v>3110100097</v>
      </c>
      <c r="B1250" t="s">
        <v>30</v>
      </c>
      <c r="C1250" t="s">
        <v>61</v>
      </c>
      <c r="D1250" t="s">
        <v>71</v>
      </c>
      <c r="E1250" t="s">
        <v>72</v>
      </c>
      <c r="F1250" t="s">
        <v>64</v>
      </c>
      <c r="G1250" t="s">
        <v>99</v>
      </c>
      <c r="H1250" t="s">
        <v>50</v>
      </c>
      <c r="I1250" t="s">
        <v>375</v>
      </c>
      <c r="J1250" t="s">
        <v>1231</v>
      </c>
      <c r="K1250" t="str">
        <f>"n/a"</f>
        <v>0</v>
      </c>
      <c r="L1250">
        <v>36000</v>
      </c>
      <c r="M1250"/>
      <c r="N1250" t="s">
        <v>38</v>
      </c>
      <c r="O1250" t="s">
        <v>38</v>
      </c>
      <c r="P1250" t="s">
        <v>53</v>
      </c>
      <c r="Q1250" t="s">
        <v>38</v>
      </c>
      <c r="R1250" t="s">
        <v>38</v>
      </c>
      <c r="S1250" t="s">
        <v>42</v>
      </c>
      <c r="T1250" t="s">
        <v>42</v>
      </c>
      <c r="U1250" t="s">
        <v>1223</v>
      </c>
      <c r="V1250" t="s">
        <v>925</v>
      </c>
      <c r="W1250" t="s">
        <v>1223</v>
      </c>
      <c r="X1250" t="s">
        <v>824</v>
      </c>
      <c r="Y1250" t="s">
        <v>926</v>
      </c>
      <c r="Z1250" t="s">
        <v>47</v>
      </c>
      <c r="AA1250"/>
      <c r="AB1250"/>
      <c r="AC1250"/>
      <c r="AD1250"/>
    </row>
    <row r="1251" spans="1:30">
      <c r="A1251">
        <v>4110040025</v>
      </c>
      <c r="B1251" t="s">
        <v>30</v>
      </c>
      <c r="C1251" t="s">
        <v>88</v>
      </c>
      <c r="D1251" t="s">
        <v>222</v>
      </c>
      <c r="E1251" t="s">
        <v>72</v>
      </c>
      <c r="F1251" t="s">
        <v>108</v>
      </c>
      <c r="G1251" t="s">
        <v>109</v>
      </c>
      <c r="H1251" t="s">
        <v>50</v>
      </c>
      <c r="I1251" t="s">
        <v>1071</v>
      </c>
      <c r="J1251" t="s">
        <v>315</v>
      </c>
      <c r="K1251" t="str">
        <f>"NA"</f>
        <v>0</v>
      </c>
      <c r="L1251">
        <v>10000</v>
      </c>
      <c r="M1251"/>
      <c r="N1251" t="s">
        <v>38</v>
      </c>
      <c r="O1251" t="s">
        <v>38</v>
      </c>
      <c r="P1251" t="s">
        <v>53</v>
      </c>
      <c r="Q1251" t="s">
        <v>38</v>
      </c>
      <c r="R1251" t="s">
        <v>38</v>
      </c>
      <c r="S1251" t="s">
        <v>42</v>
      </c>
      <c r="T1251" t="s">
        <v>42</v>
      </c>
      <c r="U1251" t="s">
        <v>1223</v>
      </c>
      <c r="V1251" t="s">
        <v>636</v>
      </c>
      <c r="W1251" t="s">
        <v>1223</v>
      </c>
      <c r="X1251" t="s">
        <v>824</v>
      </c>
      <c r="Y1251" t="s">
        <v>965</v>
      </c>
      <c r="Z1251" t="s">
        <v>47</v>
      </c>
      <c r="AA1251"/>
      <c r="AB1251"/>
      <c r="AC1251"/>
      <c r="AD1251" t="s">
        <v>638</v>
      </c>
    </row>
    <row r="1252" spans="1:30">
      <c r="A1252">
        <v>4110040045</v>
      </c>
      <c r="B1252" t="s">
        <v>30</v>
      </c>
      <c r="C1252" t="s">
        <v>88</v>
      </c>
      <c r="D1252" t="s">
        <v>222</v>
      </c>
      <c r="E1252" t="s">
        <v>79</v>
      </c>
      <c r="F1252" t="s">
        <v>108</v>
      </c>
      <c r="G1252" t="s">
        <v>109</v>
      </c>
      <c r="H1252" t="s">
        <v>50</v>
      </c>
      <c r="I1252" t="s">
        <v>1232</v>
      </c>
      <c r="J1252" t="s">
        <v>59</v>
      </c>
      <c r="K1252" t="str">
        <f>"na"</f>
        <v>0</v>
      </c>
      <c r="L1252">
        <v>10000</v>
      </c>
      <c r="M1252"/>
      <c r="N1252" t="s">
        <v>38</v>
      </c>
      <c r="O1252" t="s">
        <v>38</v>
      </c>
      <c r="P1252" t="s">
        <v>53</v>
      </c>
      <c r="Q1252" t="s">
        <v>38</v>
      </c>
      <c r="R1252" t="s">
        <v>38</v>
      </c>
      <c r="S1252" t="s">
        <v>42</v>
      </c>
      <c r="T1252" t="s">
        <v>42</v>
      </c>
      <c r="U1252" t="s">
        <v>1223</v>
      </c>
      <c r="V1252" t="s">
        <v>636</v>
      </c>
      <c r="W1252" t="s">
        <v>1223</v>
      </c>
      <c r="X1252" t="s">
        <v>824</v>
      </c>
      <c r="Y1252" t="s">
        <v>965</v>
      </c>
      <c r="Z1252" t="s">
        <v>47</v>
      </c>
      <c r="AA1252"/>
      <c r="AB1252"/>
      <c r="AC1252"/>
      <c r="AD1252" t="s">
        <v>1233</v>
      </c>
    </row>
    <row r="1253" spans="1:30">
      <c r="A1253">
        <v>3110100105</v>
      </c>
      <c r="B1253" t="s">
        <v>30</v>
      </c>
      <c r="C1253" t="s">
        <v>61</v>
      </c>
      <c r="D1253" t="s">
        <v>71</v>
      </c>
      <c r="E1253" t="s">
        <v>55</v>
      </c>
      <c r="F1253" t="s">
        <v>108</v>
      </c>
      <c r="G1253" t="s">
        <v>109</v>
      </c>
      <c r="H1253" t="s">
        <v>50</v>
      </c>
      <c r="I1253" t="s">
        <v>1214</v>
      </c>
      <c r="J1253" t="s">
        <v>1234</v>
      </c>
      <c r="K1253" t="str">
        <f>"NA"</f>
        <v>0</v>
      </c>
      <c r="L1253">
        <v>39732</v>
      </c>
      <c r="M1253"/>
      <c r="N1253" t="s">
        <v>38</v>
      </c>
      <c r="O1253" t="s">
        <v>38</v>
      </c>
      <c r="P1253" t="s">
        <v>53</v>
      </c>
      <c r="Q1253" t="s">
        <v>38</v>
      </c>
      <c r="R1253" t="s">
        <v>38</v>
      </c>
      <c r="S1253" t="s">
        <v>42</v>
      </c>
      <c r="T1253" t="s">
        <v>42</v>
      </c>
      <c r="U1253" t="s">
        <v>1223</v>
      </c>
      <c r="V1253" t="s">
        <v>636</v>
      </c>
      <c r="W1253" t="s">
        <v>1223</v>
      </c>
      <c r="X1253" t="s">
        <v>824</v>
      </c>
      <c r="Y1253" t="s">
        <v>989</v>
      </c>
      <c r="Z1253" t="s">
        <v>47</v>
      </c>
      <c r="AA1253"/>
      <c r="AB1253"/>
      <c r="AC1253"/>
      <c r="AD1253" t="s">
        <v>638</v>
      </c>
    </row>
    <row r="1254" spans="1:30">
      <c r="A1254">
        <v>3110100129</v>
      </c>
      <c r="B1254" t="s">
        <v>30</v>
      </c>
      <c r="C1254" t="s">
        <v>61</v>
      </c>
      <c r="D1254" t="s">
        <v>71</v>
      </c>
      <c r="E1254" t="s">
        <v>344</v>
      </c>
      <c r="F1254" t="s">
        <v>108</v>
      </c>
      <c r="G1254" t="s">
        <v>109</v>
      </c>
      <c r="H1254" t="s">
        <v>50</v>
      </c>
      <c r="I1254" t="s">
        <v>780</v>
      </c>
      <c r="J1254" t="s">
        <v>1235</v>
      </c>
      <c r="K1254" t="str">
        <f>"na"</f>
        <v>0</v>
      </c>
      <c r="L1254">
        <v>10000</v>
      </c>
      <c r="M1254"/>
      <c r="N1254" t="s">
        <v>38</v>
      </c>
      <c r="O1254" t="s">
        <v>38</v>
      </c>
      <c r="P1254" t="s">
        <v>53</v>
      </c>
      <c r="Q1254" t="s">
        <v>38</v>
      </c>
      <c r="R1254" t="s">
        <v>38</v>
      </c>
      <c r="S1254" t="s">
        <v>42</v>
      </c>
      <c r="T1254" t="s">
        <v>42</v>
      </c>
      <c r="U1254" t="s">
        <v>1223</v>
      </c>
      <c r="V1254" t="s">
        <v>636</v>
      </c>
      <c r="W1254" t="s">
        <v>1223</v>
      </c>
      <c r="X1254" t="s">
        <v>824</v>
      </c>
      <c r="Y1254" t="s">
        <v>989</v>
      </c>
      <c r="Z1254" t="s">
        <v>47</v>
      </c>
      <c r="AA1254"/>
      <c r="AB1254"/>
      <c r="AC1254"/>
      <c r="AD1254" t="s">
        <v>638</v>
      </c>
    </row>
    <row r="1255" spans="1:30">
      <c r="A1255">
        <v>3110090015</v>
      </c>
      <c r="B1255" t="s">
        <v>30</v>
      </c>
      <c r="C1255" t="s">
        <v>61</v>
      </c>
      <c r="D1255" t="s">
        <v>133</v>
      </c>
      <c r="E1255" t="s">
        <v>152</v>
      </c>
      <c r="F1255" t="s">
        <v>108</v>
      </c>
      <c r="G1255" t="s">
        <v>109</v>
      </c>
      <c r="H1255" t="s">
        <v>50</v>
      </c>
      <c r="I1255" t="s">
        <v>375</v>
      </c>
      <c r="J1255" t="s">
        <v>59</v>
      </c>
      <c r="K1255" t="str">
        <f>"na"</f>
        <v>0</v>
      </c>
      <c r="L1255">
        <v>10000</v>
      </c>
      <c r="M1255"/>
      <c r="N1255" t="s">
        <v>38</v>
      </c>
      <c r="O1255" t="s">
        <v>38</v>
      </c>
      <c r="P1255" t="s">
        <v>53</v>
      </c>
      <c r="Q1255" t="s">
        <v>38</v>
      </c>
      <c r="R1255" t="s">
        <v>38</v>
      </c>
      <c r="S1255" t="s">
        <v>42</v>
      </c>
      <c r="T1255" t="s">
        <v>42</v>
      </c>
      <c r="U1255" t="s">
        <v>1223</v>
      </c>
      <c r="V1255" t="s">
        <v>1022</v>
      </c>
      <c r="W1255" t="s">
        <v>1223</v>
      </c>
      <c r="X1255" t="s">
        <v>824</v>
      </c>
      <c r="Y1255" t="s">
        <v>1023</v>
      </c>
      <c r="Z1255" t="s">
        <v>47</v>
      </c>
      <c r="AA1255"/>
      <c r="AB1255"/>
      <c r="AC1255"/>
      <c r="AD1255"/>
    </row>
    <row r="1256" spans="1:30">
      <c r="A1256">
        <v>3110090042</v>
      </c>
      <c r="B1256" t="s">
        <v>30</v>
      </c>
      <c r="C1256" t="s">
        <v>61</v>
      </c>
      <c r="D1256" t="s">
        <v>133</v>
      </c>
      <c r="E1256" t="s">
        <v>55</v>
      </c>
      <c r="F1256" t="s">
        <v>108</v>
      </c>
      <c r="G1256" t="s">
        <v>109</v>
      </c>
      <c r="H1256" t="s">
        <v>50</v>
      </c>
      <c r="I1256" t="s">
        <v>375</v>
      </c>
      <c r="J1256" t="s">
        <v>59</v>
      </c>
      <c r="K1256" t="str">
        <f>"na"</f>
        <v>0</v>
      </c>
      <c r="L1256">
        <v>10000</v>
      </c>
      <c r="M1256"/>
      <c r="N1256" t="s">
        <v>38</v>
      </c>
      <c r="O1256" t="s">
        <v>38</v>
      </c>
      <c r="P1256" t="s">
        <v>53</v>
      </c>
      <c r="Q1256" t="s">
        <v>38</v>
      </c>
      <c r="R1256" t="s">
        <v>38</v>
      </c>
      <c r="S1256" t="s">
        <v>42</v>
      </c>
      <c r="T1256" t="s">
        <v>42</v>
      </c>
      <c r="U1256" t="s">
        <v>1223</v>
      </c>
      <c r="V1256" t="s">
        <v>1022</v>
      </c>
      <c r="W1256" t="s">
        <v>1223</v>
      </c>
      <c r="X1256" t="s">
        <v>824</v>
      </c>
      <c r="Y1256" t="s">
        <v>1023</v>
      </c>
      <c r="Z1256" t="s">
        <v>47</v>
      </c>
      <c r="AA1256"/>
      <c r="AB1256"/>
      <c r="AC1256"/>
      <c r="AD1256"/>
    </row>
    <row r="1257" spans="1:30">
      <c r="A1257">
        <v>3110090043</v>
      </c>
      <c r="B1257" t="s">
        <v>30</v>
      </c>
      <c r="C1257" t="s">
        <v>61</v>
      </c>
      <c r="D1257" t="s">
        <v>133</v>
      </c>
      <c r="E1257" t="s">
        <v>55</v>
      </c>
      <c r="F1257" t="s">
        <v>108</v>
      </c>
      <c r="G1257" t="s">
        <v>109</v>
      </c>
      <c r="H1257" t="s">
        <v>50</v>
      </c>
      <c r="I1257" t="s">
        <v>496</v>
      </c>
      <c r="J1257" t="s">
        <v>59</v>
      </c>
      <c r="K1257" t="str">
        <f>"na"</f>
        <v>0</v>
      </c>
      <c r="L1257">
        <v>10000</v>
      </c>
      <c r="M1257"/>
      <c r="N1257" t="s">
        <v>38</v>
      </c>
      <c r="O1257" t="s">
        <v>38</v>
      </c>
      <c r="P1257" t="s">
        <v>53</v>
      </c>
      <c r="Q1257" t="s">
        <v>38</v>
      </c>
      <c r="R1257" t="s">
        <v>38</v>
      </c>
      <c r="S1257" t="s">
        <v>42</v>
      </c>
      <c r="T1257" t="s">
        <v>42</v>
      </c>
      <c r="U1257" t="s">
        <v>1223</v>
      </c>
      <c r="V1257" t="s">
        <v>1022</v>
      </c>
      <c r="W1257" t="s">
        <v>1223</v>
      </c>
      <c r="X1257" t="s">
        <v>824</v>
      </c>
      <c r="Y1257" t="s">
        <v>1023</v>
      </c>
      <c r="Z1257" t="s">
        <v>47</v>
      </c>
      <c r="AA1257"/>
      <c r="AB1257"/>
      <c r="AC1257"/>
      <c r="AD1257"/>
    </row>
    <row r="1258" spans="1:30">
      <c r="A1258">
        <v>3110090055</v>
      </c>
      <c r="B1258" t="s">
        <v>30</v>
      </c>
      <c r="C1258" t="s">
        <v>61</v>
      </c>
      <c r="D1258" t="s">
        <v>133</v>
      </c>
      <c r="E1258" t="s">
        <v>79</v>
      </c>
      <c r="F1258" t="s">
        <v>108</v>
      </c>
      <c r="G1258" t="s">
        <v>109</v>
      </c>
      <c r="H1258" t="s">
        <v>50</v>
      </c>
      <c r="I1258" t="s">
        <v>1214</v>
      </c>
      <c r="J1258" t="s">
        <v>1236</v>
      </c>
      <c r="K1258" t="str">
        <f>"19200"</f>
        <v>0</v>
      </c>
      <c r="L1258">
        <v>39732</v>
      </c>
      <c r="M1258"/>
      <c r="N1258" t="s">
        <v>38</v>
      </c>
      <c r="O1258" t="s">
        <v>38</v>
      </c>
      <c r="P1258" t="s">
        <v>53</v>
      </c>
      <c r="Q1258" t="s">
        <v>38</v>
      </c>
      <c r="R1258" t="s">
        <v>38</v>
      </c>
      <c r="S1258" t="s">
        <v>42</v>
      </c>
      <c r="T1258" t="s">
        <v>42</v>
      </c>
      <c r="U1258" t="s">
        <v>1223</v>
      </c>
      <c r="V1258" t="s">
        <v>1022</v>
      </c>
      <c r="W1258" t="s">
        <v>1223</v>
      </c>
      <c r="X1258" t="s">
        <v>824</v>
      </c>
      <c r="Y1258" t="s">
        <v>1023</v>
      </c>
      <c r="Z1258" t="s">
        <v>47</v>
      </c>
      <c r="AA1258"/>
      <c r="AB1258"/>
      <c r="AC1258"/>
      <c r="AD1258"/>
    </row>
    <row r="1259" spans="1:30">
      <c r="A1259">
        <v>3110090087</v>
      </c>
      <c r="B1259" t="s">
        <v>30</v>
      </c>
      <c r="C1259" t="s">
        <v>61</v>
      </c>
      <c r="D1259" t="s">
        <v>133</v>
      </c>
      <c r="E1259" t="s">
        <v>72</v>
      </c>
      <c r="F1259" t="s">
        <v>108</v>
      </c>
      <c r="G1259" t="s">
        <v>109</v>
      </c>
      <c r="H1259" t="s">
        <v>50</v>
      </c>
      <c r="I1259" t="s">
        <v>496</v>
      </c>
      <c r="J1259" t="s">
        <v>59</v>
      </c>
      <c r="K1259" t="str">
        <f>"na"</f>
        <v>0</v>
      </c>
      <c r="L1259">
        <v>10000</v>
      </c>
      <c r="M1259"/>
      <c r="N1259" t="s">
        <v>38</v>
      </c>
      <c r="O1259" t="s">
        <v>38</v>
      </c>
      <c r="P1259" t="s">
        <v>53</v>
      </c>
      <c r="Q1259" t="s">
        <v>38</v>
      </c>
      <c r="R1259" t="s">
        <v>38</v>
      </c>
      <c r="S1259" t="s">
        <v>42</v>
      </c>
      <c r="T1259" t="s">
        <v>42</v>
      </c>
      <c r="U1259" t="s">
        <v>1223</v>
      </c>
      <c r="V1259" t="s">
        <v>1022</v>
      </c>
      <c r="W1259" t="s">
        <v>1223</v>
      </c>
      <c r="X1259" t="s">
        <v>824</v>
      </c>
      <c r="Y1259" t="s">
        <v>1023</v>
      </c>
      <c r="Z1259" t="s">
        <v>47</v>
      </c>
      <c r="AA1259"/>
      <c r="AB1259"/>
      <c r="AC1259"/>
      <c r="AD1259"/>
    </row>
    <row r="1260" spans="1:30">
      <c r="A1260">
        <v>3110110029</v>
      </c>
      <c r="B1260" t="s">
        <v>30</v>
      </c>
      <c r="C1260" t="s">
        <v>61</v>
      </c>
      <c r="D1260" t="s">
        <v>62</v>
      </c>
      <c r="E1260" t="s">
        <v>55</v>
      </c>
      <c r="F1260" t="s">
        <v>108</v>
      </c>
      <c r="G1260" t="s">
        <v>109</v>
      </c>
      <c r="H1260" t="s">
        <v>50</v>
      </c>
      <c r="I1260" t="s">
        <v>450</v>
      </c>
      <c r="J1260" t="s">
        <v>378</v>
      </c>
      <c r="K1260" t="str">
        <f>"na"</f>
        <v>0</v>
      </c>
      <c r="L1260">
        <v>10000</v>
      </c>
      <c r="M1260"/>
      <c r="N1260" t="s">
        <v>38</v>
      </c>
      <c r="O1260" t="s">
        <v>38</v>
      </c>
      <c r="P1260" t="s">
        <v>53</v>
      </c>
      <c r="Q1260" t="s">
        <v>38</v>
      </c>
      <c r="R1260" t="s">
        <v>38</v>
      </c>
      <c r="S1260" t="s">
        <v>42</v>
      </c>
      <c r="T1260" t="s">
        <v>42</v>
      </c>
      <c r="U1260" t="s">
        <v>1223</v>
      </c>
      <c r="V1260" t="s">
        <v>636</v>
      </c>
      <c r="W1260" t="s">
        <v>1223</v>
      </c>
      <c r="X1260" t="s">
        <v>824</v>
      </c>
      <c r="Y1260" t="s">
        <v>1053</v>
      </c>
      <c r="Z1260" t="s">
        <v>47</v>
      </c>
      <c r="AA1260"/>
      <c r="AB1260"/>
      <c r="AC1260"/>
      <c r="AD1260" t="s">
        <v>638</v>
      </c>
    </row>
    <row r="1261" spans="1:30">
      <c r="A1261">
        <v>3110110031</v>
      </c>
      <c r="B1261" t="s">
        <v>30</v>
      </c>
      <c r="C1261" t="s">
        <v>61</v>
      </c>
      <c r="D1261" t="s">
        <v>62</v>
      </c>
      <c r="E1261" t="s">
        <v>55</v>
      </c>
      <c r="F1261" t="s">
        <v>108</v>
      </c>
      <c r="G1261" t="s">
        <v>109</v>
      </c>
      <c r="H1261" t="s">
        <v>50</v>
      </c>
      <c r="I1261" t="s">
        <v>496</v>
      </c>
      <c r="J1261" t="s">
        <v>59</v>
      </c>
      <c r="K1261" t="str">
        <f>"na"</f>
        <v>0</v>
      </c>
      <c r="L1261">
        <v>10000</v>
      </c>
      <c r="M1261"/>
      <c r="N1261" t="s">
        <v>38</v>
      </c>
      <c r="O1261" t="s">
        <v>38</v>
      </c>
      <c r="P1261" t="s">
        <v>53</v>
      </c>
      <c r="Q1261" t="s">
        <v>38</v>
      </c>
      <c r="R1261" t="s">
        <v>38</v>
      </c>
      <c r="S1261" t="s">
        <v>42</v>
      </c>
      <c r="T1261" t="s">
        <v>42</v>
      </c>
      <c r="U1261" t="s">
        <v>1223</v>
      </c>
      <c r="V1261" t="s">
        <v>636</v>
      </c>
      <c r="W1261" t="s">
        <v>1223</v>
      </c>
      <c r="X1261" t="s">
        <v>824</v>
      </c>
      <c r="Y1261" t="s">
        <v>1053</v>
      </c>
      <c r="Z1261" t="s">
        <v>47</v>
      </c>
      <c r="AA1261"/>
      <c r="AB1261"/>
      <c r="AC1261"/>
      <c r="AD1261" t="s">
        <v>638</v>
      </c>
    </row>
    <row r="1262" spans="1:30">
      <c r="A1262">
        <v>3110110069</v>
      </c>
      <c r="B1262" t="s">
        <v>30</v>
      </c>
      <c r="C1262" t="s">
        <v>61</v>
      </c>
      <c r="D1262" t="s">
        <v>62</v>
      </c>
      <c r="E1262" t="s">
        <v>79</v>
      </c>
      <c r="F1262" t="s">
        <v>108</v>
      </c>
      <c r="G1262" t="s">
        <v>109</v>
      </c>
      <c r="H1262" t="s">
        <v>50</v>
      </c>
      <c r="I1262" t="s">
        <v>450</v>
      </c>
      <c r="J1262" t="s">
        <v>59</v>
      </c>
      <c r="K1262" t="str">
        <f>"na"</f>
        <v>0</v>
      </c>
      <c r="L1262">
        <v>10000</v>
      </c>
      <c r="M1262"/>
      <c r="N1262" t="s">
        <v>38</v>
      </c>
      <c r="O1262" t="s">
        <v>38</v>
      </c>
      <c r="P1262" t="s">
        <v>53</v>
      </c>
      <c r="Q1262" t="s">
        <v>38</v>
      </c>
      <c r="R1262" t="s">
        <v>38</v>
      </c>
      <c r="S1262" t="s">
        <v>42</v>
      </c>
      <c r="T1262" t="s">
        <v>42</v>
      </c>
      <c r="U1262" t="s">
        <v>1223</v>
      </c>
      <c r="V1262" t="s">
        <v>636</v>
      </c>
      <c r="W1262" t="s">
        <v>1223</v>
      </c>
      <c r="X1262" t="s">
        <v>824</v>
      </c>
      <c r="Y1262" t="s">
        <v>1053</v>
      </c>
      <c r="Z1262" t="s">
        <v>47</v>
      </c>
      <c r="AA1262"/>
      <c r="AB1262"/>
      <c r="AC1262"/>
      <c r="AD1262" t="s">
        <v>638</v>
      </c>
    </row>
    <row r="1263" spans="1:30">
      <c r="A1263">
        <v>2110060051</v>
      </c>
      <c r="B1263" t="s">
        <v>30</v>
      </c>
      <c r="C1263" t="s">
        <v>31</v>
      </c>
      <c r="D1263" t="s">
        <v>32</v>
      </c>
      <c r="E1263" t="s">
        <v>868</v>
      </c>
      <c r="F1263" t="s">
        <v>56</v>
      </c>
      <c r="G1263" t="s">
        <v>284</v>
      </c>
      <c r="H1263" t="s">
        <v>50</v>
      </c>
      <c r="I1263" t="s">
        <v>810</v>
      </c>
      <c r="J1263" t="s">
        <v>315</v>
      </c>
      <c r="K1263" t="str">
        <f>"NA"</f>
        <v>0</v>
      </c>
      <c r="L1263">
        <v>250000</v>
      </c>
      <c r="M1263"/>
      <c r="N1263" t="s">
        <v>1237</v>
      </c>
      <c r="O1263" t="s">
        <v>38</v>
      </c>
      <c r="P1263" t="s">
        <v>53</v>
      </c>
      <c r="Q1263" t="s">
        <v>38</v>
      </c>
      <c r="R1263" t="s">
        <v>38</v>
      </c>
      <c r="S1263" t="s">
        <v>42</v>
      </c>
      <c r="T1263" t="s">
        <v>42</v>
      </c>
      <c r="U1263" t="s">
        <v>1223</v>
      </c>
      <c r="V1263" t="s">
        <v>636</v>
      </c>
      <c r="W1263" t="s">
        <v>1223</v>
      </c>
      <c r="X1263" t="s">
        <v>824</v>
      </c>
      <c r="Y1263" t="s">
        <v>861</v>
      </c>
      <c r="Z1263" t="s">
        <v>47</v>
      </c>
      <c r="AA1263"/>
      <c r="AB1263"/>
      <c r="AC1263"/>
      <c r="AD1263" t="s">
        <v>638</v>
      </c>
    </row>
    <row r="1264" spans="1:30">
      <c r="A1264">
        <v>2110060116</v>
      </c>
      <c r="B1264" t="s">
        <v>30</v>
      </c>
      <c r="C1264" t="s">
        <v>31</v>
      </c>
      <c r="D1264" t="s">
        <v>32</v>
      </c>
      <c r="E1264" t="s">
        <v>118</v>
      </c>
      <c r="F1264" t="s">
        <v>56</v>
      </c>
      <c r="G1264" t="s">
        <v>283</v>
      </c>
      <c r="H1264" t="s">
        <v>50</v>
      </c>
      <c r="I1264" t="s">
        <v>100</v>
      </c>
      <c r="J1264"/>
      <c r="K1264" t="str">
        <f>"Na"</f>
        <v>0</v>
      </c>
      <c r="L1264">
        <v>10000</v>
      </c>
      <c r="M1264"/>
      <c r="N1264" t="s">
        <v>894</v>
      </c>
      <c r="O1264" t="s">
        <v>38</v>
      </c>
      <c r="P1264" t="s">
        <v>53</v>
      </c>
      <c r="Q1264" t="s">
        <v>38</v>
      </c>
      <c r="R1264" t="s">
        <v>38</v>
      </c>
      <c r="S1264" t="s">
        <v>42</v>
      </c>
      <c r="T1264" t="s">
        <v>42</v>
      </c>
      <c r="U1264" t="s">
        <v>1223</v>
      </c>
      <c r="V1264" t="s">
        <v>636</v>
      </c>
      <c r="W1264" t="s">
        <v>1223</v>
      </c>
      <c r="X1264" t="s">
        <v>824</v>
      </c>
      <c r="Y1264" t="s">
        <v>895</v>
      </c>
      <c r="Z1264" t="s">
        <v>47</v>
      </c>
      <c r="AA1264"/>
      <c r="AB1264"/>
      <c r="AC1264"/>
      <c r="AD1264" t="s">
        <v>638</v>
      </c>
    </row>
    <row r="1265" spans="1:30">
      <c r="A1265">
        <v>2110060121</v>
      </c>
      <c r="B1265" t="s">
        <v>30</v>
      </c>
      <c r="C1265" t="s">
        <v>31</v>
      </c>
      <c r="D1265" t="s">
        <v>32</v>
      </c>
      <c r="E1265" t="s">
        <v>72</v>
      </c>
      <c r="F1265" t="s">
        <v>56</v>
      </c>
      <c r="G1265" t="s">
        <v>57</v>
      </c>
      <c r="H1265" t="s">
        <v>50</v>
      </c>
      <c r="I1265" t="s">
        <v>806</v>
      </c>
      <c r="J1265" t="s">
        <v>315</v>
      </c>
      <c r="K1265" t="str">
        <f>"17443"</f>
        <v>0</v>
      </c>
      <c r="L1265">
        <v>57750</v>
      </c>
      <c r="M1265"/>
      <c r="N1265" t="s">
        <v>898</v>
      </c>
      <c r="O1265" t="s">
        <v>38</v>
      </c>
      <c r="P1265" t="s">
        <v>53</v>
      </c>
      <c r="Q1265" t="s">
        <v>38</v>
      </c>
      <c r="R1265" t="s">
        <v>38</v>
      </c>
      <c r="S1265" t="s">
        <v>42</v>
      </c>
      <c r="T1265" t="s">
        <v>42</v>
      </c>
      <c r="U1265" t="s">
        <v>1223</v>
      </c>
      <c r="V1265" t="s">
        <v>636</v>
      </c>
      <c r="W1265" t="s">
        <v>1223</v>
      </c>
      <c r="X1265" t="s">
        <v>824</v>
      </c>
      <c r="Y1265" t="s">
        <v>895</v>
      </c>
      <c r="Z1265" t="s">
        <v>47</v>
      </c>
      <c r="AA1265"/>
      <c r="AB1265"/>
      <c r="AC1265"/>
      <c r="AD1265" t="s">
        <v>1225</v>
      </c>
    </row>
    <row r="1266" spans="1:30">
      <c r="A1266">
        <v>2110060144</v>
      </c>
      <c r="B1266" t="s">
        <v>30</v>
      </c>
      <c r="C1266" t="s">
        <v>31</v>
      </c>
      <c r="D1266" t="s">
        <v>32</v>
      </c>
      <c r="E1266" t="s">
        <v>151</v>
      </c>
      <c r="F1266" t="s">
        <v>56</v>
      </c>
      <c r="G1266" t="s">
        <v>178</v>
      </c>
      <c r="H1266" t="s">
        <v>50</v>
      </c>
      <c r="I1266" t="s">
        <v>1238</v>
      </c>
      <c r="J1266" t="s">
        <v>315</v>
      </c>
      <c r="K1266" t="str">
        <f>"4874253048"</f>
        <v>0</v>
      </c>
      <c r="L1266">
        <v>156240</v>
      </c>
      <c r="M1266"/>
      <c r="N1266" t="s">
        <v>913</v>
      </c>
      <c r="O1266" t="s">
        <v>38</v>
      </c>
      <c r="P1266" t="s">
        <v>53</v>
      </c>
      <c r="Q1266" t="s">
        <v>38</v>
      </c>
      <c r="R1266" t="s">
        <v>38</v>
      </c>
      <c r="S1266" t="s">
        <v>42</v>
      </c>
      <c r="T1266" t="s">
        <v>42</v>
      </c>
      <c r="U1266" t="s">
        <v>1223</v>
      </c>
      <c r="V1266" t="s">
        <v>636</v>
      </c>
      <c r="W1266" t="s">
        <v>1223</v>
      </c>
      <c r="X1266" t="s">
        <v>824</v>
      </c>
      <c r="Y1266" t="s">
        <v>895</v>
      </c>
      <c r="Z1266" t="s">
        <v>47</v>
      </c>
      <c r="AA1266"/>
      <c r="AB1266"/>
      <c r="AC1266"/>
      <c r="AD1266" t="s">
        <v>638</v>
      </c>
    </row>
    <row r="1267" spans="1:30">
      <c r="A1267">
        <v>3110090059</v>
      </c>
      <c r="B1267" t="s">
        <v>30</v>
      </c>
      <c r="C1267" t="s">
        <v>61</v>
      </c>
      <c r="D1267" t="s">
        <v>133</v>
      </c>
      <c r="E1267" t="s">
        <v>79</v>
      </c>
      <c r="F1267" t="s">
        <v>56</v>
      </c>
      <c r="G1267" t="s">
        <v>283</v>
      </c>
      <c r="H1267" t="s">
        <v>50</v>
      </c>
      <c r="I1267" t="s">
        <v>375</v>
      </c>
      <c r="J1267" t="s">
        <v>315</v>
      </c>
      <c r="K1267" t="str">
        <f>"na"</f>
        <v>0</v>
      </c>
      <c r="L1267">
        <v>10000</v>
      </c>
      <c r="M1267"/>
      <c r="N1267" t="s">
        <v>38</v>
      </c>
      <c r="O1267" t="s">
        <v>38</v>
      </c>
      <c r="P1267" t="s">
        <v>53</v>
      </c>
      <c r="Q1267" t="s">
        <v>38</v>
      </c>
      <c r="R1267" t="s">
        <v>38</v>
      </c>
      <c r="S1267" t="s">
        <v>42</v>
      </c>
      <c r="T1267" t="s">
        <v>42</v>
      </c>
      <c r="U1267" t="s">
        <v>1223</v>
      </c>
      <c r="V1267" t="s">
        <v>1022</v>
      </c>
      <c r="W1267" t="s">
        <v>1223</v>
      </c>
      <c r="X1267" t="s">
        <v>824</v>
      </c>
      <c r="Y1267" t="s">
        <v>1023</v>
      </c>
      <c r="Z1267" t="s">
        <v>47</v>
      </c>
      <c r="AA1267"/>
      <c r="AB1267"/>
      <c r="AC1267"/>
      <c r="AD1267"/>
    </row>
    <row r="1268" spans="1:30">
      <c r="A1268">
        <v>3110090088</v>
      </c>
      <c r="B1268" t="s">
        <v>30</v>
      </c>
      <c r="C1268" t="s">
        <v>61</v>
      </c>
      <c r="D1268" t="s">
        <v>133</v>
      </c>
      <c r="E1268" t="s">
        <v>72</v>
      </c>
      <c r="F1268" t="s">
        <v>56</v>
      </c>
      <c r="G1268" t="s">
        <v>283</v>
      </c>
      <c r="H1268" t="s">
        <v>50</v>
      </c>
      <c r="I1268" t="s">
        <v>375</v>
      </c>
      <c r="J1268" t="s">
        <v>315</v>
      </c>
      <c r="K1268" t="str">
        <f>"na"</f>
        <v>0</v>
      </c>
      <c r="L1268">
        <v>10000</v>
      </c>
      <c r="M1268"/>
      <c r="N1268" t="s">
        <v>38</v>
      </c>
      <c r="O1268" t="s">
        <v>38</v>
      </c>
      <c r="P1268" t="s">
        <v>53</v>
      </c>
      <c r="Q1268" t="s">
        <v>38</v>
      </c>
      <c r="R1268" t="s">
        <v>38</v>
      </c>
      <c r="S1268" t="s">
        <v>42</v>
      </c>
      <c r="T1268" t="s">
        <v>42</v>
      </c>
      <c r="U1268" t="s">
        <v>1223</v>
      </c>
      <c r="V1268" t="s">
        <v>1022</v>
      </c>
      <c r="W1268" t="s">
        <v>1223</v>
      </c>
      <c r="X1268" t="s">
        <v>824</v>
      </c>
      <c r="Y1268" t="s">
        <v>1023</v>
      </c>
      <c r="Z1268" t="s">
        <v>47</v>
      </c>
      <c r="AA1268"/>
      <c r="AB1268"/>
      <c r="AC1268"/>
      <c r="AD1268"/>
    </row>
    <row r="1269" spans="1:30">
      <c r="A1269">
        <v>3110100110</v>
      </c>
      <c r="B1269" t="s">
        <v>30</v>
      </c>
      <c r="C1269" t="s">
        <v>61</v>
      </c>
      <c r="D1269" t="s">
        <v>71</v>
      </c>
      <c r="E1269" t="s">
        <v>151</v>
      </c>
      <c r="F1269" t="s">
        <v>56</v>
      </c>
      <c r="G1269" t="s">
        <v>178</v>
      </c>
      <c r="H1269" t="s">
        <v>50</v>
      </c>
      <c r="I1269" t="s">
        <v>1238</v>
      </c>
      <c r="J1269" t="s">
        <v>1239</v>
      </c>
      <c r="K1269" t="str">
        <f>"0857308026"</f>
        <v>0</v>
      </c>
      <c r="L1269">
        <v>156240</v>
      </c>
      <c r="M1269"/>
      <c r="N1269" t="s">
        <v>38</v>
      </c>
      <c r="O1269" t="s">
        <v>38</v>
      </c>
      <c r="P1269" t="s">
        <v>53</v>
      </c>
      <c r="Q1269" t="s">
        <v>38</v>
      </c>
      <c r="R1269" t="s">
        <v>38</v>
      </c>
      <c r="S1269" t="s">
        <v>42</v>
      </c>
      <c r="T1269" t="s">
        <v>42</v>
      </c>
      <c r="U1269" t="s">
        <v>1053</v>
      </c>
      <c r="V1269" t="s">
        <v>636</v>
      </c>
      <c r="W1269" t="s">
        <v>1053</v>
      </c>
      <c r="X1269" t="s">
        <v>824</v>
      </c>
      <c r="Y1269" t="s">
        <v>989</v>
      </c>
      <c r="Z1269" t="s">
        <v>47</v>
      </c>
      <c r="AA1269"/>
      <c r="AB1269"/>
      <c r="AC1269"/>
      <c r="AD1269" t="s">
        <v>638</v>
      </c>
    </row>
    <row r="1270" spans="1:30">
      <c r="A1270">
        <v>3110090014</v>
      </c>
      <c r="B1270" t="s">
        <v>30</v>
      </c>
      <c r="C1270" t="s">
        <v>61</v>
      </c>
      <c r="D1270" t="s">
        <v>133</v>
      </c>
      <c r="E1270" t="s">
        <v>152</v>
      </c>
      <c r="F1270" t="s">
        <v>56</v>
      </c>
      <c r="G1270" t="s">
        <v>178</v>
      </c>
      <c r="H1270" t="s">
        <v>50</v>
      </c>
      <c r="I1270" t="s">
        <v>1238</v>
      </c>
      <c r="J1270" t="s">
        <v>315</v>
      </c>
      <c r="K1270" t="str">
        <f>"98760770033"</f>
        <v>0</v>
      </c>
      <c r="L1270">
        <v>156240</v>
      </c>
      <c r="M1270"/>
      <c r="N1270" t="s">
        <v>38</v>
      </c>
      <c r="O1270" t="s">
        <v>38</v>
      </c>
      <c r="P1270" t="s">
        <v>53</v>
      </c>
      <c r="Q1270" t="s">
        <v>38</v>
      </c>
      <c r="R1270" t="s">
        <v>38</v>
      </c>
      <c r="S1270" t="s">
        <v>42</v>
      </c>
      <c r="T1270" t="s">
        <v>42</v>
      </c>
      <c r="U1270" t="s">
        <v>1053</v>
      </c>
      <c r="V1270" t="s">
        <v>1022</v>
      </c>
      <c r="W1270" t="s">
        <v>1053</v>
      </c>
      <c r="X1270" t="s">
        <v>824</v>
      </c>
      <c r="Y1270" t="s">
        <v>1023</v>
      </c>
      <c r="Z1270" t="s">
        <v>47</v>
      </c>
      <c r="AA1270"/>
      <c r="AB1270"/>
      <c r="AC1270"/>
      <c r="AD1270"/>
    </row>
    <row r="1271" spans="1:30">
      <c r="A1271">
        <v>3110110019</v>
      </c>
      <c r="B1271" t="s">
        <v>30</v>
      </c>
      <c r="C1271" t="s">
        <v>61</v>
      </c>
      <c r="D1271" t="s">
        <v>62</v>
      </c>
      <c r="E1271" t="s">
        <v>55</v>
      </c>
      <c r="F1271" t="s">
        <v>56</v>
      </c>
      <c r="G1271" t="s">
        <v>284</v>
      </c>
      <c r="H1271" t="s">
        <v>50</v>
      </c>
      <c r="I1271" t="s">
        <v>810</v>
      </c>
      <c r="J1271" t="s">
        <v>315</v>
      </c>
      <c r="K1271" t="str">
        <f>"na"</f>
        <v>0</v>
      </c>
      <c r="L1271">
        <v>250000</v>
      </c>
      <c r="M1271"/>
      <c r="N1271" t="s">
        <v>38</v>
      </c>
      <c r="O1271" t="s">
        <v>38</v>
      </c>
      <c r="P1271" t="s">
        <v>53</v>
      </c>
      <c r="Q1271" t="s">
        <v>38</v>
      </c>
      <c r="R1271" t="s">
        <v>38</v>
      </c>
      <c r="S1271" t="s">
        <v>42</v>
      </c>
      <c r="T1271" t="s">
        <v>42</v>
      </c>
      <c r="U1271" t="s">
        <v>1053</v>
      </c>
      <c r="V1271" t="s">
        <v>636</v>
      </c>
      <c r="W1271" t="s">
        <v>1053</v>
      </c>
      <c r="X1271" t="s">
        <v>824</v>
      </c>
      <c r="Y1271" t="s">
        <v>1053</v>
      </c>
      <c r="Z1271" t="s">
        <v>47</v>
      </c>
      <c r="AA1271"/>
      <c r="AB1271"/>
      <c r="AC1271"/>
      <c r="AD1271" t="s">
        <v>638</v>
      </c>
    </row>
    <row r="1272" spans="1:30">
      <c r="A1272">
        <v>3110110020</v>
      </c>
      <c r="B1272" t="s">
        <v>30</v>
      </c>
      <c r="C1272" t="s">
        <v>61</v>
      </c>
      <c r="D1272" t="s">
        <v>62</v>
      </c>
      <c r="E1272" t="s">
        <v>55</v>
      </c>
      <c r="F1272" t="s">
        <v>56</v>
      </c>
      <c r="G1272" t="s">
        <v>284</v>
      </c>
      <c r="H1272" t="s">
        <v>50</v>
      </c>
      <c r="I1272" t="s">
        <v>810</v>
      </c>
      <c r="J1272" t="s">
        <v>315</v>
      </c>
      <c r="K1272" t="str">
        <f>"na"</f>
        <v>0</v>
      </c>
      <c r="L1272">
        <v>250000</v>
      </c>
      <c r="M1272"/>
      <c r="N1272" t="s">
        <v>38</v>
      </c>
      <c r="O1272" t="s">
        <v>38</v>
      </c>
      <c r="P1272" t="s">
        <v>53</v>
      </c>
      <c r="Q1272" t="s">
        <v>38</v>
      </c>
      <c r="R1272" t="s">
        <v>38</v>
      </c>
      <c r="S1272" t="s">
        <v>42</v>
      </c>
      <c r="T1272" t="s">
        <v>42</v>
      </c>
      <c r="U1272" t="s">
        <v>1053</v>
      </c>
      <c r="V1272" t="s">
        <v>636</v>
      </c>
      <c r="W1272" t="s">
        <v>1053</v>
      </c>
      <c r="X1272" t="s">
        <v>824</v>
      </c>
      <c r="Y1272" t="s">
        <v>1053</v>
      </c>
      <c r="Z1272" t="s">
        <v>47</v>
      </c>
      <c r="AA1272"/>
      <c r="AB1272"/>
      <c r="AC1272"/>
      <c r="AD1272" t="s">
        <v>638</v>
      </c>
    </row>
    <row r="1273" spans="1:30">
      <c r="A1273">
        <v>3110110038</v>
      </c>
      <c r="B1273" t="s">
        <v>30</v>
      </c>
      <c r="C1273" t="s">
        <v>61</v>
      </c>
      <c r="D1273" t="s">
        <v>62</v>
      </c>
      <c r="E1273" t="s">
        <v>151</v>
      </c>
      <c r="F1273" t="s">
        <v>56</v>
      </c>
      <c r="G1273" t="s">
        <v>178</v>
      </c>
      <c r="H1273" t="s">
        <v>50</v>
      </c>
      <c r="I1273" t="s">
        <v>1238</v>
      </c>
      <c r="J1273" t="s">
        <v>315</v>
      </c>
      <c r="K1273" t="str">
        <f>"na"</f>
        <v>0</v>
      </c>
      <c r="L1273">
        <v>156240</v>
      </c>
      <c r="M1273"/>
      <c r="N1273" t="s">
        <v>38</v>
      </c>
      <c r="O1273" t="s">
        <v>38</v>
      </c>
      <c r="P1273" t="s">
        <v>53</v>
      </c>
      <c r="Q1273" t="s">
        <v>38</v>
      </c>
      <c r="R1273" t="s">
        <v>38</v>
      </c>
      <c r="S1273" t="s">
        <v>42</v>
      </c>
      <c r="T1273" t="s">
        <v>42</v>
      </c>
      <c r="U1273" t="s">
        <v>1053</v>
      </c>
      <c r="V1273" t="s">
        <v>636</v>
      </c>
      <c r="W1273" t="s">
        <v>1053</v>
      </c>
      <c r="X1273" t="s">
        <v>824</v>
      </c>
      <c r="Y1273" t="s">
        <v>1053</v>
      </c>
      <c r="Z1273" t="s">
        <v>47</v>
      </c>
      <c r="AA1273"/>
      <c r="AB1273"/>
      <c r="AC1273"/>
      <c r="AD1273" t="s">
        <v>638</v>
      </c>
    </row>
    <row r="1274" spans="1:30">
      <c r="A1274">
        <v>3110110042</v>
      </c>
      <c r="B1274" t="s">
        <v>30</v>
      </c>
      <c r="C1274" t="s">
        <v>61</v>
      </c>
      <c r="D1274" t="s">
        <v>62</v>
      </c>
      <c r="E1274" t="s">
        <v>1063</v>
      </c>
      <c r="F1274" t="s">
        <v>56</v>
      </c>
      <c r="G1274" t="s">
        <v>57</v>
      </c>
      <c r="H1274" t="s">
        <v>50</v>
      </c>
      <c r="I1274" t="s">
        <v>806</v>
      </c>
      <c r="J1274" t="s">
        <v>1240</v>
      </c>
      <c r="K1274" t="str">
        <f>"17459"</f>
        <v>0</v>
      </c>
      <c r="L1274">
        <v>57750</v>
      </c>
      <c r="M1274"/>
      <c r="N1274" t="s">
        <v>38</v>
      </c>
      <c r="O1274" t="s">
        <v>38</v>
      </c>
      <c r="P1274" t="s">
        <v>53</v>
      </c>
      <c r="Q1274" t="s">
        <v>38</v>
      </c>
      <c r="R1274" t="s">
        <v>38</v>
      </c>
      <c r="S1274" t="s">
        <v>42</v>
      </c>
      <c r="T1274" t="s">
        <v>42</v>
      </c>
      <c r="U1274" t="s">
        <v>1053</v>
      </c>
      <c r="V1274" t="s">
        <v>636</v>
      </c>
      <c r="W1274" t="s">
        <v>1053</v>
      </c>
      <c r="X1274" t="s">
        <v>824</v>
      </c>
      <c r="Y1274" t="s">
        <v>1053</v>
      </c>
      <c r="Z1274" t="s">
        <v>47</v>
      </c>
      <c r="AA1274"/>
      <c r="AB1274"/>
      <c r="AC1274"/>
      <c r="AD1274" t="s">
        <v>638</v>
      </c>
    </row>
    <row r="1275" spans="1:30">
      <c r="A1275">
        <v>3110090060</v>
      </c>
      <c r="B1275" t="s">
        <v>30</v>
      </c>
      <c r="C1275" t="s">
        <v>61</v>
      </c>
      <c r="D1275" t="s">
        <v>133</v>
      </c>
      <c r="E1275" t="s">
        <v>79</v>
      </c>
      <c r="F1275" t="s">
        <v>94</v>
      </c>
      <c r="G1275" t="s">
        <v>95</v>
      </c>
      <c r="H1275" t="s">
        <v>35</v>
      </c>
      <c r="I1275" t="s">
        <v>82</v>
      </c>
      <c r="J1275" t="s">
        <v>526</v>
      </c>
      <c r="K1275" t="str">
        <f>"tp1079"</f>
        <v>0</v>
      </c>
      <c r="L1275">
        <v>69636</v>
      </c>
      <c r="M1275"/>
      <c r="N1275" t="s">
        <v>38</v>
      </c>
      <c r="O1275" t="s">
        <v>38</v>
      </c>
      <c r="P1275" t="s">
        <v>53</v>
      </c>
      <c r="Q1275" t="s">
        <v>38</v>
      </c>
      <c r="R1275" t="s">
        <v>38</v>
      </c>
      <c r="S1275" t="s">
        <v>42</v>
      </c>
      <c r="T1275" t="s">
        <v>42</v>
      </c>
      <c r="U1275" t="s">
        <v>1023</v>
      </c>
      <c r="V1275" t="s">
        <v>1022</v>
      </c>
      <c r="W1275" t="s">
        <v>1023</v>
      </c>
      <c r="X1275" t="s">
        <v>824</v>
      </c>
      <c r="Y1275" t="s">
        <v>1023</v>
      </c>
      <c r="Z1275" t="s">
        <v>47</v>
      </c>
      <c r="AA1275"/>
      <c r="AB1275"/>
      <c r="AC1275"/>
      <c r="AD1275"/>
    </row>
    <row r="1276" spans="1:30">
      <c r="A1276">
        <v>3110090061</v>
      </c>
      <c r="B1276" t="s">
        <v>30</v>
      </c>
      <c r="C1276" t="s">
        <v>61</v>
      </c>
      <c r="D1276" t="s">
        <v>133</v>
      </c>
      <c r="E1276" t="s">
        <v>79</v>
      </c>
      <c r="F1276" t="s">
        <v>286</v>
      </c>
      <c r="G1276" t="s">
        <v>287</v>
      </c>
      <c r="H1276" t="s">
        <v>35</v>
      </c>
      <c r="I1276" t="s">
        <v>82</v>
      </c>
      <c r="J1276" t="s">
        <v>716</v>
      </c>
      <c r="K1276" t="str">
        <f>"tp 1012"</f>
        <v>0</v>
      </c>
      <c r="L1276">
        <v>67950</v>
      </c>
      <c r="M1276"/>
      <c r="N1276" t="s">
        <v>38</v>
      </c>
      <c r="O1276" t="s">
        <v>38</v>
      </c>
      <c r="P1276" t="s">
        <v>53</v>
      </c>
      <c r="Q1276" t="s">
        <v>38</v>
      </c>
      <c r="R1276" t="s">
        <v>38</v>
      </c>
      <c r="S1276" t="s">
        <v>42</v>
      </c>
      <c r="T1276" t="s">
        <v>42</v>
      </c>
      <c r="U1276" t="s">
        <v>1023</v>
      </c>
      <c r="V1276" t="s">
        <v>1022</v>
      </c>
      <c r="W1276" t="s">
        <v>1023</v>
      </c>
      <c r="X1276" t="s">
        <v>824</v>
      </c>
      <c r="Y1276" t="s">
        <v>1023</v>
      </c>
      <c r="Z1276" t="s">
        <v>47</v>
      </c>
      <c r="AA1276"/>
      <c r="AB1276"/>
      <c r="AC1276"/>
      <c r="AD1276"/>
    </row>
    <row r="1277" spans="1:30">
      <c r="A1277">
        <v>3110090062</v>
      </c>
      <c r="B1277" t="s">
        <v>30</v>
      </c>
      <c r="C1277" t="s">
        <v>61</v>
      </c>
      <c r="D1277" t="s">
        <v>133</v>
      </c>
      <c r="E1277" t="s">
        <v>55</v>
      </c>
      <c r="F1277" t="s">
        <v>194</v>
      </c>
      <c r="G1277" t="s">
        <v>195</v>
      </c>
      <c r="H1277" t="s">
        <v>50</v>
      </c>
      <c r="I1277" t="s">
        <v>1103</v>
      </c>
      <c r="J1277" t="s">
        <v>1241</v>
      </c>
      <c r="K1277" t="str">
        <f>"2409134.5expso3"</f>
        <v>0</v>
      </c>
      <c r="L1277">
        <v>19752</v>
      </c>
      <c r="M1277"/>
      <c r="N1277" t="s">
        <v>38</v>
      </c>
      <c r="O1277" t="s">
        <v>38</v>
      </c>
      <c r="P1277" t="s">
        <v>53</v>
      </c>
      <c r="Q1277" t="s">
        <v>38</v>
      </c>
      <c r="R1277" t="s">
        <v>38</v>
      </c>
      <c r="S1277" t="s">
        <v>42</v>
      </c>
      <c r="T1277" t="s">
        <v>42</v>
      </c>
      <c r="U1277" t="s">
        <v>1023</v>
      </c>
      <c r="V1277" t="s">
        <v>1022</v>
      </c>
      <c r="W1277" t="s">
        <v>1023</v>
      </c>
      <c r="X1277" t="s">
        <v>824</v>
      </c>
      <c r="Y1277" t="s">
        <v>1023</v>
      </c>
      <c r="Z1277" t="s">
        <v>47</v>
      </c>
      <c r="AA1277"/>
      <c r="AB1277"/>
      <c r="AC1277"/>
      <c r="AD1277"/>
    </row>
    <row r="1278" spans="1:30">
      <c r="A1278">
        <v>3110090063</v>
      </c>
      <c r="B1278" t="s">
        <v>30</v>
      </c>
      <c r="C1278" t="s">
        <v>61</v>
      </c>
      <c r="D1278" t="s">
        <v>133</v>
      </c>
      <c r="E1278" t="s">
        <v>55</v>
      </c>
      <c r="F1278" t="s">
        <v>194</v>
      </c>
      <c r="G1278" t="s">
        <v>195</v>
      </c>
      <c r="H1278" t="s">
        <v>50</v>
      </c>
      <c r="I1278" t="s">
        <v>1103</v>
      </c>
      <c r="J1278" t="s">
        <v>1241</v>
      </c>
      <c r="K1278" t="str">
        <f>"2409134.5exsy03"</f>
        <v>0</v>
      </c>
      <c r="L1278">
        <v>19752</v>
      </c>
      <c r="M1278"/>
      <c r="N1278" t="s">
        <v>38</v>
      </c>
      <c r="O1278" t="s">
        <v>38</v>
      </c>
      <c r="P1278" t="s">
        <v>53</v>
      </c>
      <c r="Q1278" t="s">
        <v>38</v>
      </c>
      <c r="R1278" t="s">
        <v>38</v>
      </c>
      <c r="S1278" t="s">
        <v>42</v>
      </c>
      <c r="T1278" t="s">
        <v>42</v>
      </c>
      <c r="U1278" t="s">
        <v>1023</v>
      </c>
      <c r="V1278" t="s">
        <v>1022</v>
      </c>
      <c r="W1278" t="s">
        <v>1023</v>
      </c>
      <c r="X1278" t="s">
        <v>824</v>
      </c>
      <c r="Y1278" t="s">
        <v>1023</v>
      </c>
      <c r="Z1278" t="s">
        <v>47</v>
      </c>
      <c r="AA1278"/>
      <c r="AB1278"/>
      <c r="AC1278"/>
      <c r="AD1278"/>
    </row>
    <row r="1279" spans="1:30">
      <c r="A1279">
        <v>3110090064</v>
      </c>
      <c r="B1279" t="s">
        <v>30</v>
      </c>
      <c r="C1279" t="s">
        <v>61</v>
      </c>
      <c r="D1279" t="s">
        <v>133</v>
      </c>
      <c r="E1279" t="s">
        <v>55</v>
      </c>
      <c r="F1279" t="s">
        <v>194</v>
      </c>
      <c r="G1279" t="s">
        <v>195</v>
      </c>
      <c r="H1279" t="s">
        <v>50</v>
      </c>
      <c r="I1279" t="s">
        <v>1103</v>
      </c>
      <c r="J1279" t="s">
        <v>1241</v>
      </c>
      <c r="K1279" t="str">
        <f>"2509134.5exps01"</f>
        <v>0</v>
      </c>
      <c r="L1279">
        <v>19752</v>
      </c>
      <c r="M1279"/>
      <c r="N1279" t="s">
        <v>38</v>
      </c>
      <c r="O1279" t="s">
        <v>38</v>
      </c>
      <c r="P1279" t="s">
        <v>53</v>
      </c>
      <c r="Q1279" t="s">
        <v>38</v>
      </c>
      <c r="R1279" t="s">
        <v>38</v>
      </c>
      <c r="S1279" t="s">
        <v>42</v>
      </c>
      <c r="T1279" t="s">
        <v>42</v>
      </c>
      <c r="U1279" t="s">
        <v>1023</v>
      </c>
      <c r="V1279" t="s">
        <v>1022</v>
      </c>
      <c r="W1279" t="s">
        <v>1023</v>
      </c>
      <c r="X1279" t="s">
        <v>824</v>
      </c>
      <c r="Y1279" t="s">
        <v>1023</v>
      </c>
      <c r="Z1279" t="s">
        <v>47</v>
      </c>
      <c r="AA1279"/>
      <c r="AB1279"/>
      <c r="AC1279"/>
      <c r="AD1279"/>
    </row>
    <row r="1280" spans="1:30">
      <c r="A1280">
        <v>3110090065</v>
      </c>
      <c r="B1280" t="s">
        <v>30</v>
      </c>
      <c r="C1280" t="s">
        <v>61</v>
      </c>
      <c r="D1280" t="s">
        <v>133</v>
      </c>
      <c r="E1280" t="s">
        <v>55</v>
      </c>
      <c r="F1280" t="s">
        <v>194</v>
      </c>
      <c r="G1280" t="s">
        <v>195</v>
      </c>
      <c r="H1280" t="s">
        <v>50</v>
      </c>
      <c r="I1280" t="s">
        <v>1103</v>
      </c>
      <c r="J1280" t="s">
        <v>1241</v>
      </c>
      <c r="K1280" t="str">
        <f>"0204134.5exaj09"</f>
        <v>0</v>
      </c>
      <c r="L1280">
        <v>19752</v>
      </c>
      <c r="M1280"/>
      <c r="N1280" t="s">
        <v>38</v>
      </c>
      <c r="O1280" t="s">
        <v>38</v>
      </c>
      <c r="P1280" t="s">
        <v>53</v>
      </c>
      <c r="Q1280" t="s">
        <v>38</v>
      </c>
      <c r="R1280" t="s">
        <v>38</v>
      </c>
      <c r="S1280" t="s">
        <v>42</v>
      </c>
      <c r="T1280" t="s">
        <v>42</v>
      </c>
      <c r="U1280" t="s">
        <v>1023</v>
      </c>
      <c r="V1280" t="s">
        <v>1022</v>
      </c>
      <c r="W1280" t="s">
        <v>1023</v>
      </c>
      <c r="X1280" t="s">
        <v>824</v>
      </c>
      <c r="Y1280" t="s">
        <v>1023</v>
      </c>
      <c r="Z1280" t="s">
        <v>47</v>
      </c>
      <c r="AA1280"/>
      <c r="AB1280"/>
      <c r="AC1280"/>
      <c r="AD1280"/>
    </row>
    <row r="1281" spans="1:30">
      <c r="A1281">
        <v>3110090071</v>
      </c>
      <c r="B1281" t="s">
        <v>30</v>
      </c>
      <c r="C1281" t="s">
        <v>61</v>
      </c>
      <c r="D1281" t="s">
        <v>133</v>
      </c>
      <c r="E1281" t="s">
        <v>55</v>
      </c>
      <c r="F1281" t="s">
        <v>113</v>
      </c>
      <c r="G1281" t="s">
        <v>114</v>
      </c>
      <c r="H1281" t="s">
        <v>35</v>
      </c>
      <c r="I1281" t="s">
        <v>115</v>
      </c>
      <c r="J1281" t="s">
        <v>1242</v>
      </c>
      <c r="K1281" t="str">
        <f>"na"</f>
        <v>0</v>
      </c>
      <c r="L1281">
        <v>79420</v>
      </c>
      <c r="M1281"/>
      <c r="N1281" t="s">
        <v>38</v>
      </c>
      <c r="O1281" t="s">
        <v>38</v>
      </c>
      <c r="P1281" t="s">
        <v>53</v>
      </c>
      <c r="Q1281" t="s">
        <v>38</v>
      </c>
      <c r="R1281" t="s">
        <v>38</v>
      </c>
      <c r="S1281" t="s">
        <v>42</v>
      </c>
      <c r="T1281" t="s">
        <v>42</v>
      </c>
      <c r="U1281" t="s">
        <v>1023</v>
      </c>
      <c r="V1281" t="s">
        <v>1022</v>
      </c>
      <c r="W1281" t="s">
        <v>1023</v>
      </c>
      <c r="X1281" t="s">
        <v>824</v>
      </c>
      <c r="Y1281" t="s">
        <v>1023</v>
      </c>
      <c r="Z1281" t="s">
        <v>47</v>
      </c>
      <c r="AA1281"/>
      <c r="AB1281"/>
      <c r="AC1281"/>
      <c r="AD1281"/>
    </row>
    <row r="1282" spans="1:30">
      <c r="A1282">
        <v>3110090072</v>
      </c>
      <c r="B1282" t="s">
        <v>30</v>
      </c>
      <c r="C1282" t="s">
        <v>61</v>
      </c>
      <c r="D1282" t="s">
        <v>133</v>
      </c>
      <c r="E1282" t="s">
        <v>1048</v>
      </c>
      <c r="F1282" t="s">
        <v>90</v>
      </c>
      <c r="G1282" t="s">
        <v>628</v>
      </c>
      <c r="H1282" t="s">
        <v>35</v>
      </c>
      <c r="I1282" t="s">
        <v>629</v>
      </c>
      <c r="J1282" t="s">
        <v>1243</v>
      </c>
      <c r="K1282" t="str">
        <f>"306"</f>
        <v>0</v>
      </c>
      <c r="L1282">
        <v>719816</v>
      </c>
      <c r="M1282"/>
      <c r="N1282" t="s">
        <v>38</v>
      </c>
      <c r="O1282" t="s">
        <v>38</v>
      </c>
      <c r="P1282" t="s">
        <v>53</v>
      </c>
      <c r="Q1282" t="s">
        <v>38</v>
      </c>
      <c r="R1282" t="s">
        <v>38</v>
      </c>
      <c r="S1282" t="s">
        <v>42</v>
      </c>
      <c r="T1282" t="s">
        <v>42</v>
      </c>
      <c r="U1282" t="s">
        <v>1023</v>
      </c>
      <c r="V1282" t="s">
        <v>1022</v>
      </c>
      <c r="W1282" t="s">
        <v>1023</v>
      </c>
      <c r="X1282" t="s">
        <v>824</v>
      </c>
      <c r="Y1282" t="s">
        <v>1023</v>
      </c>
      <c r="Z1282" t="s">
        <v>47</v>
      </c>
      <c r="AA1282"/>
      <c r="AB1282"/>
      <c r="AC1282"/>
      <c r="AD1282"/>
    </row>
    <row r="1283" spans="1:30">
      <c r="A1283">
        <v>3110090074</v>
      </c>
      <c r="B1283" t="s">
        <v>30</v>
      </c>
      <c r="C1283" t="s">
        <v>61</v>
      </c>
      <c r="D1283" t="s">
        <v>133</v>
      </c>
      <c r="E1283" t="s">
        <v>1048</v>
      </c>
      <c r="F1283" t="s">
        <v>143</v>
      </c>
      <c r="G1283" t="s">
        <v>144</v>
      </c>
      <c r="H1283" t="s">
        <v>50</v>
      </c>
      <c r="I1283" t="s">
        <v>382</v>
      </c>
      <c r="J1283" t="s">
        <v>931</v>
      </c>
      <c r="K1283" t="str">
        <f>"na"</f>
        <v>0</v>
      </c>
      <c r="L1283">
        <v>34335</v>
      </c>
      <c r="M1283"/>
      <c r="N1283" t="s">
        <v>38</v>
      </c>
      <c r="O1283" t="s">
        <v>38</v>
      </c>
      <c r="P1283" t="s">
        <v>53</v>
      </c>
      <c r="Q1283" t="s">
        <v>38</v>
      </c>
      <c r="R1283" t="s">
        <v>38</v>
      </c>
      <c r="S1283" t="s">
        <v>42</v>
      </c>
      <c r="T1283" t="s">
        <v>42</v>
      </c>
      <c r="U1283" t="s">
        <v>1023</v>
      </c>
      <c r="V1283" t="s">
        <v>1022</v>
      </c>
      <c r="W1283" t="s">
        <v>1023</v>
      </c>
      <c r="X1283" t="s">
        <v>824</v>
      </c>
      <c r="Y1283" t="s">
        <v>1023</v>
      </c>
      <c r="Z1283" t="s">
        <v>47</v>
      </c>
      <c r="AA1283"/>
      <c r="AB1283"/>
      <c r="AC1283"/>
      <c r="AD1283"/>
    </row>
    <row r="1284" spans="1:30">
      <c r="A1284">
        <v>3110090075</v>
      </c>
      <c r="B1284" t="s">
        <v>30</v>
      </c>
      <c r="C1284" t="s">
        <v>61</v>
      </c>
      <c r="D1284" t="s">
        <v>133</v>
      </c>
      <c r="E1284" t="s">
        <v>1048</v>
      </c>
      <c r="F1284" t="s">
        <v>143</v>
      </c>
      <c r="G1284" t="s">
        <v>381</v>
      </c>
      <c r="H1284" t="s">
        <v>50</v>
      </c>
      <c r="I1284" t="s">
        <v>382</v>
      </c>
      <c r="J1284" t="s">
        <v>59</v>
      </c>
      <c r="K1284" t="str">
        <f>"na"</f>
        <v>0</v>
      </c>
      <c r="L1284">
        <v>459375</v>
      </c>
      <c r="M1284"/>
      <c r="N1284" t="s">
        <v>38</v>
      </c>
      <c r="O1284" t="s">
        <v>38</v>
      </c>
      <c r="P1284" t="s">
        <v>53</v>
      </c>
      <c r="Q1284" t="s">
        <v>38</v>
      </c>
      <c r="R1284" t="s">
        <v>38</v>
      </c>
      <c r="S1284" t="s">
        <v>42</v>
      </c>
      <c r="T1284" t="s">
        <v>42</v>
      </c>
      <c r="U1284" t="s">
        <v>1023</v>
      </c>
      <c r="V1284" t="s">
        <v>1022</v>
      </c>
      <c r="W1284" t="s">
        <v>1023</v>
      </c>
      <c r="X1284" t="s">
        <v>824</v>
      </c>
      <c r="Y1284" t="s">
        <v>1023</v>
      </c>
      <c r="Z1284" t="s">
        <v>47</v>
      </c>
      <c r="AA1284"/>
      <c r="AB1284"/>
      <c r="AC1284"/>
      <c r="AD1284"/>
    </row>
    <row r="1285" spans="1:30">
      <c r="A1285">
        <v>3110090076</v>
      </c>
      <c r="B1285" t="s">
        <v>30</v>
      </c>
      <c r="C1285" t="s">
        <v>61</v>
      </c>
      <c r="D1285" t="s">
        <v>133</v>
      </c>
      <c r="E1285" t="s">
        <v>55</v>
      </c>
      <c r="F1285" t="s">
        <v>56</v>
      </c>
      <c r="G1285" t="s">
        <v>57</v>
      </c>
      <c r="H1285" t="s">
        <v>50</v>
      </c>
      <c r="I1285" t="s">
        <v>58</v>
      </c>
      <c r="J1285" t="s">
        <v>315</v>
      </c>
      <c r="K1285" t="str">
        <f>"na"</f>
        <v>0</v>
      </c>
      <c r="L1285">
        <v>72269</v>
      </c>
      <c r="M1285"/>
      <c r="N1285" t="s">
        <v>38</v>
      </c>
      <c r="O1285" t="s">
        <v>38</v>
      </c>
      <c r="P1285" t="s">
        <v>53</v>
      </c>
      <c r="Q1285" t="s">
        <v>38</v>
      </c>
      <c r="R1285" t="s">
        <v>38</v>
      </c>
      <c r="S1285" t="s">
        <v>42</v>
      </c>
      <c r="T1285" t="s">
        <v>42</v>
      </c>
      <c r="U1285" t="s">
        <v>1023</v>
      </c>
      <c r="V1285" t="s">
        <v>1022</v>
      </c>
      <c r="W1285" t="s">
        <v>1023</v>
      </c>
      <c r="X1285" t="s">
        <v>824</v>
      </c>
      <c r="Y1285" t="s">
        <v>1023</v>
      </c>
      <c r="Z1285" t="s">
        <v>47</v>
      </c>
      <c r="AA1285"/>
      <c r="AB1285"/>
      <c r="AC1285"/>
      <c r="AD1285"/>
    </row>
    <row r="1286" spans="1:30">
      <c r="A1286">
        <v>3110090077</v>
      </c>
      <c r="B1286" t="s">
        <v>30</v>
      </c>
      <c r="C1286" t="s">
        <v>61</v>
      </c>
      <c r="D1286" t="s">
        <v>133</v>
      </c>
      <c r="E1286" t="s">
        <v>55</v>
      </c>
      <c r="F1286" t="s">
        <v>56</v>
      </c>
      <c r="G1286" t="s">
        <v>57</v>
      </c>
      <c r="H1286" t="s">
        <v>50</v>
      </c>
      <c r="I1286" t="s">
        <v>58</v>
      </c>
      <c r="J1286" t="s">
        <v>1244</v>
      </c>
      <c r="K1286" t="str">
        <f>"na"</f>
        <v>0</v>
      </c>
      <c r="L1286">
        <v>72269</v>
      </c>
      <c r="M1286"/>
      <c r="N1286" t="s">
        <v>38</v>
      </c>
      <c r="O1286" t="s">
        <v>38</v>
      </c>
      <c r="P1286" t="s">
        <v>53</v>
      </c>
      <c r="Q1286" t="s">
        <v>38</v>
      </c>
      <c r="R1286" t="s">
        <v>38</v>
      </c>
      <c r="S1286" t="s">
        <v>42</v>
      </c>
      <c r="T1286" t="s">
        <v>42</v>
      </c>
      <c r="U1286" t="s">
        <v>1023</v>
      </c>
      <c r="V1286" t="s">
        <v>1022</v>
      </c>
      <c r="W1286" t="s">
        <v>1023</v>
      </c>
      <c r="X1286" t="s">
        <v>824</v>
      </c>
      <c r="Y1286" t="s">
        <v>1023</v>
      </c>
      <c r="Z1286" t="s">
        <v>47</v>
      </c>
      <c r="AA1286"/>
      <c r="AB1286"/>
      <c r="AC1286"/>
      <c r="AD1286"/>
    </row>
    <row r="1287" spans="1:30">
      <c r="A1287">
        <v>3110090078</v>
      </c>
      <c r="B1287" t="s">
        <v>30</v>
      </c>
      <c r="C1287" t="s">
        <v>61</v>
      </c>
      <c r="D1287" t="s">
        <v>133</v>
      </c>
      <c r="E1287" t="s">
        <v>55</v>
      </c>
      <c r="F1287" t="s">
        <v>56</v>
      </c>
      <c r="G1287" t="s">
        <v>57</v>
      </c>
      <c r="H1287" t="s">
        <v>50</v>
      </c>
      <c r="I1287" t="s">
        <v>806</v>
      </c>
      <c r="J1287" t="s">
        <v>100</v>
      </c>
      <c r="K1287" t="str">
        <f>"na"</f>
        <v>0</v>
      </c>
      <c r="L1287">
        <v>57750</v>
      </c>
      <c r="M1287"/>
      <c r="N1287" t="s">
        <v>38</v>
      </c>
      <c r="O1287" t="s">
        <v>38</v>
      </c>
      <c r="P1287" t="s">
        <v>53</v>
      </c>
      <c r="Q1287" t="s">
        <v>38</v>
      </c>
      <c r="R1287" t="s">
        <v>38</v>
      </c>
      <c r="S1287" t="s">
        <v>42</v>
      </c>
      <c r="T1287" t="s">
        <v>42</v>
      </c>
      <c r="U1287" t="s">
        <v>1023</v>
      </c>
      <c r="V1287" t="s">
        <v>1022</v>
      </c>
      <c r="W1287" t="s">
        <v>1023</v>
      </c>
      <c r="X1287" t="s">
        <v>824</v>
      </c>
      <c r="Y1287" t="s">
        <v>1023</v>
      </c>
      <c r="Z1287" t="s">
        <v>47</v>
      </c>
      <c r="AA1287"/>
      <c r="AB1287"/>
      <c r="AC1287"/>
      <c r="AD1287"/>
    </row>
    <row r="1288" spans="1:30">
      <c r="A1288">
        <v>3110090079</v>
      </c>
      <c r="B1288" t="s">
        <v>30</v>
      </c>
      <c r="C1288" t="s">
        <v>61</v>
      </c>
      <c r="D1288" t="s">
        <v>133</v>
      </c>
      <c r="E1288" t="s">
        <v>55</v>
      </c>
      <c r="F1288" t="s">
        <v>56</v>
      </c>
      <c r="G1288" t="s">
        <v>284</v>
      </c>
      <c r="H1288" t="s">
        <v>50</v>
      </c>
      <c r="I1288" t="s">
        <v>58</v>
      </c>
      <c r="J1288" t="s">
        <v>58</v>
      </c>
      <c r="K1288" t="str">
        <f>"ric.ap.bh"</f>
        <v>0</v>
      </c>
      <c r="L1288">
        <v>250000</v>
      </c>
      <c r="M1288"/>
      <c r="N1288" t="s">
        <v>38</v>
      </c>
      <c r="O1288" t="s">
        <v>38</v>
      </c>
      <c r="P1288" t="s">
        <v>53</v>
      </c>
      <c r="Q1288" t="s">
        <v>38</v>
      </c>
      <c r="R1288" t="s">
        <v>38</v>
      </c>
      <c r="S1288" t="s">
        <v>42</v>
      </c>
      <c r="T1288" t="s">
        <v>42</v>
      </c>
      <c r="U1288" t="s">
        <v>1023</v>
      </c>
      <c r="V1288" t="s">
        <v>1022</v>
      </c>
      <c r="W1288" t="s">
        <v>1023</v>
      </c>
      <c r="X1288" t="s">
        <v>824</v>
      </c>
      <c r="Y1288" t="s">
        <v>1023</v>
      </c>
      <c r="Z1288" t="s">
        <v>47</v>
      </c>
      <c r="AA1288"/>
      <c r="AB1288"/>
      <c r="AC1288"/>
      <c r="AD1288"/>
    </row>
    <row r="1289" spans="1:30">
      <c r="A1289">
        <v>3110090051</v>
      </c>
      <c r="B1289" t="s">
        <v>30</v>
      </c>
      <c r="C1289" t="s">
        <v>61</v>
      </c>
      <c r="D1289" t="s">
        <v>133</v>
      </c>
      <c r="E1289" t="s">
        <v>55</v>
      </c>
      <c r="F1289" t="s">
        <v>194</v>
      </c>
      <c r="G1289" t="s">
        <v>195</v>
      </c>
      <c r="H1289" t="s">
        <v>50</v>
      </c>
      <c r="I1289" t="s">
        <v>1103</v>
      </c>
      <c r="J1289" t="s">
        <v>1245</v>
      </c>
      <c r="K1289" t="str">
        <f>"1709134.5EXRP01"</f>
        <v>0</v>
      </c>
      <c r="L1289">
        <v>19752</v>
      </c>
      <c r="M1289"/>
      <c r="N1289" t="s">
        <v>38</v>
      </c>
      <c r="O1289" t="s">
        <v>38</v>
      </c>
      <c r="P1289" t="s">
        <v>53</v>
      </c>
      <c r="Q1289" t="s">
        <v>38</v>
      </c>
      <c r="R1289" t="s">
        <v>38</v>
      </c>
      <c r="S1289" t="s">
        <v>42</v>
      </c>
      <c r="T1289" t="s">
        <v>42</v>
      </c>
      <c r="U1289" t="s">
        <v>1023</v>
      </c>
      <c r="V1289" t="s">
        <v>1022</v>
      </c>
      <c r="W1289" t="s">
        <v>1023</v>
      </c>
      <c r="X1289" t="s">
        <v>824</v>
      </c>
      <c r="Y1289" t="s">
        <v>1023</v>
      </c>
      <c r="Z1289" t="s">
        <v>47</v>
      </c>
      <c r="AA1289"/>
      <c r="AB1289"/>
      <c r="AC1289"/>
      <c r="AD1289"/>
    </row>
    <row r="1290" spans="1:30">
      <c r="A1290">
        <v>4110040035</v>
      </c>
      <c r="B1290" t="s">
        <v>30</v>
      </c>
      <c r="C1290" t="s">
        <v>88</v>
      </c>
      <c r="D1290" t="s">
        <v>222</v>
      </c>
      <c r="E1290" t="s">
        <v>79</v>
      </c>
      <c r="F1290" t="s">
        <v>56</v>
      </c>
      <c r="G1290" t="s">
        <v>57</v>
      </c>
      <c r="H1290" t="s">
        <v>50</v>
      </c>
      <c r="I1290" t="s">
        <v>58</v>
      </c>
      <c r="J1290" t="s">
        <v>315</v>
      </c>
      <c r="K1290" t="str">
        <f>"na"</f>
        <v>0</v>
      </c>
      <c r="L1290">
        <v>72269</v>
      </c>
      <c r="M1290"/>
      <c r="N1290" t="s">
        <v>38</v>
      </c>
      <c r="O1290" t="s">
        <v>38</v>
      </c>
      <c r="P1290" t="s">
        <v>53</v>
      </c>
      <c r="Q1290" t="s">
        <v>38</v>
      </c>
      <c r="R1290" t="s">
        <v>38</v>
      </c>
      <c r="S1290" t="s">
        <v>266</v>
      </c>
      <c r="T1290" t="s">
        <v>266</v>
      </c>
      <c r="U1290" t="s">
        <v>965</v>
      </c>
      <c r="V1290" t="s">
        <v>636</v>
      </c>
      <c r="W1290" t="s">
        <v>965</v>
      </c>
      <c r="X1290" t="s">
        <v>824</v>
      </c>
      <c r="Y1290" t="s">
        <v>965</v>
      </c>
      <c r="Z1290" t="s">
        <v>70</v>
      </c>
      <c r="AA1290"/>
      <c r="AB1290"/>
      <c r="AC1290"/>
      <c r="AD1290" t="s">
        <v>638</v>
      </c>
    </row>
    <row r="1291" spans="1:30">
      <c r="A1291">
        <v>4110040036</v>
      </c>
      <c r="B1291" t="s">
        <v>30</v>
      </c>
      <c r="C1291" t="s">
        <v>88</v>
      </c>
      <c r="D1291" t="s">
        <v>222</v>
      </c>
      <c r="E1291" t="s">
        <v>79</v>
      </c>
      <c r="F1291" t="s">
        <v>56</v>
      </c>
      <c r="G1291" t="s">
        <v>283</v>
      </c>
      <c r="H1291" t="s">
        <v>50</v>
      </c>
      <c r="I1291" t="s">
        <v>100</v>
      </c>
      <c r="J1291" t="s">
        <v>315</v>
      </c>
      <c r="K1291" t="str">
        <f>"na"</f>
        <v>0</v>
      </c>
      <c r="L1291">
        <v>10000</v>
      </c>
      <c r="M1291"/>
      <c r="N1291" t="s">
        <v>38</v>
      </c>
      <c r="O1291" t="s">
        <v>38</v>
      </c>
      <c r="P1291" t="s">
        <v>53</v>
      </c>
      <c r="Q1291" t="s">
        <v>38</v>
      </c>
      <c r="R1291" t="s">
        <v>38</v>
      </c>
      <c r="S1291" t="s">
        <v>42</v>
      </c>
      <c r="T1291" t="s">
        <v>42</v>
      </c>
      <c r="U1291" t="s">
        <v>965</v>
      </c>
      <c r="V1291" t="s">
        <v>636</v>
      </c>
      <c r="W1291" t="s">
        <v>965</v>
      </c>
      <c r="X1291" t="s">
        <v>824</v>
      </c>
      <c r="Y1291" t="s">
        <v>965</v>
      </c>
      <c r="Z1291" t="s">
        <v>47</v>
      </c>
      <c r="AA1291"/>
      <c r="AB1291"/>
      <c r="AC1291"/>
      <c r="AD1291" t="s">
        <v>710</v>
      </c>
    </row>
    <row r="1292" spans="1:30">
      <c r="A1292">
        <v>4110040006</v>
      </c>
      <c r="B1292" t="s">
        <v>30</v>
      </c>
      <c r="C1292" t="s">
        <v>88</v>
      </c>
      <c r="D1292" t="s">
        <v>222</v>
      </c>
      <c r="E1292" t="s">
        <v>151</v>
      </c>
      <c r="F1292" t="s">
        <v>56</v>
      </c>
      <c r="G1292" t="s">
        <v>178</v>
      </c>
      <c r="H1292" t="s">
        <v>50</v>
      </c>
      <c r="I1292" t="s">
        <v>179</v>
      </c>
      <c r="J1292" t="s">
        <v>1246</v>
      </c>
      <c r="K1292" t="str">
        <f>"NA"</f>
        <v>0</v>
      </c>
      <c r="L1292">
        <v>126000</v>
      </c>
      <c r="M1292"/>
      <c r="N1292" t="s">
        <v>38</v>
      </c>
      <c r="O1292" t="s">
        <v>38</v>
      </c>
      <c r="P1292" t="s">
        <v>53</v>
      </c>
      <c r="Q1292" t="s">
        <v>38</v>
      </c>
      <c r="R1292" t="s">
        <v>38</v>
      </c>
      <c r="S1292" t="s">
        <v>42</v>
      </c>
      <c r="T1292" t="s">
        <v>42</v>
      </c>
      <c r="U1292" t="s">
        <v>965</v>
      </c>
      <c r="V1292" t="s">
        <v>636</v>
      </c>
      <c r="W1292" t="s">
        <v>965</v>
      </c>
      <c r="X1292" t="s">
        <v>824</v>
      </c>
      <c r="Y1292" t="s">
        <v>965</v>
      </c>
      <c r="Z1292" t="s">
        <v>47</v>
      </c>
      <c r="AA1292"/>
      <c r="AB1292"/>
      <c r="AC1292"/>
      <c r="AD1292" t="s">
        <v>638</v>
      </c>
    </row>
    <row r="1293" spans="1:30">
      <c r="A1293">
        <v>3110100001</v>
      </c>
      <c r="B1293" t="s">
        <v>30</v>
      </c>
      <c r="C1293" t="s">
        <v>61</v>
      </c>
      <c r="D1293" t="s">
        <v>71</v>
      </c>
      <c r="E1293" t="s">
        <v>55</v>
      </c>
      <c r="F1293" t="s">
        <v>56</v>
      </c>
      <c r="G1293" t="s">
        <v>57</v>
      </c>
      <c r="H1293" t="s">
        <v>50</v>
      </c>
      <c r="I1293" t="s">
        <v>58</v>
      </c>
      <c r="J1293" t="s">
        <v>315</v>
      </c>
      <c r="K1293" t="str">
        <f>"na"</f>
        <v>0</v>
      </c>
      <c r="L1293">
        <v>72269</v>
      </c>
      <c r="M1293"/>
      <c r="N1293" t="s">
        <v>38</v>
      </c>
      <c r="O1293" t="s">
        <v>38</v>
      </c>
      <c r="P1293" t="s">
        <v>53</v>
      </c>
      <c r="Q1293" t="s">
        <v>38</v>
      </c>
      <c r="R1293" t="s">
        <v>38</v>
      </c>
      <c r="S1293" t="s">
        <v>266</v>
      </c>
      <c r="T1293" t="s">
        <v>266</v>
      </c>
      <c r="U1293" t="s">
        <v>1247</v>
      </c>
      <c r="V1293" t="s">
        <v>925</v>
      </c>
      <c r="W1293" t="s">
        <v>1247</v>
      </c>
      <c r="X1293" t="s">
        <v>1248</v>
      </c>
      <c r="Y1293" t="s">
        <v>926</v>
      </c>
      <c r="Z1293" t="s">
        <v>70</v>
      </c>
      <c r="AA1293"/>
      <c r="AB1293"/>
      <c r="AC1293"/>
      <c r="AD1293"/>
    </row>
    <row r="1294" spans="1:30">
      <c r="A1294">
        <v>3110100002</v>
      </c>
      <c r="B1294" t="s">
        <v>30</v>
      </c>
      <c r="C1294" t="s">
        <v>61</v>
      </c>
      <c r="D1294" t="s">
        <v>71</v>
      </c>
      <c r="E1294" t="s">
        <v>55</v>
      </c>
      <c r="F1294" t="s">
        <v>56</v>
      </c>
      <c r="G1294" t="s">
        <v>57</v>
      </c>
      <c r="H1294" t="s">
        <v>50</v>
      </c>
      <c r="I1294" t="s">
        <v>1071</v>
      </c>
      <c r="J1294" t="s">
        <v>315</v>
      </c>
      <c r="K1294" t="str">
        <f>"NA"</f>
        <v>0</v>
      </c>
      <c r="L1294">
        <v>55000</v>
      </c>
      <c r="M1294"/>
      <c r="N1294" t="s">
        <v>38</v>
      </c>
      <c r="O1294" t="s">
        <v>38</v>
      </c>
      <c r="P1294" t="s">
        <v>53</v>
      </c>
      <c r="Q1294" t="s">
        <v>38</v>
      </c>
      <c r="R1294" t="s">
        <v>38</v>
      </c>
      <c r="S1294" t="s">
        <v>42</v>
      </c>
      <c r="T1294" t="s">
        <v>42</v>
      </c>
      <c r="U1294" t="s">
        <v>1247</v>
      </c>
      <c r="V1294" t="s">
        <v>925</v>
      </c>
      <c r="W1294" t="s">
        <v>1247</v>
      </c>
      <c r="X1294" t="s">
        <v>1248</v>
      </c>
      <c r="Y1294" t="s">
        <v>926</v>
      </c>
      <c r="Z1294" t="s">
        <v>47</v>
      </c>
      <c r="AA1294"/>
      <c r="AB1294"/>
      <c r="AC1294"/>
      <c r="AD1294"/>
    </row>
    <row r="1295" spans="1:30">
      <c r="A1295">
        <v>3110100061</v>
      </c>
      <c r="B1295" t="s">
        <v>30</v>
      </c>
      <c r="C1295" t="s">
        <v>61</v>
      </c>
      <c r="D1295" t="s">
        <v>71</v>
      </c>
      <c r="E1295" t="s">
        <v>79</v>
      </c>
      <c r="F1295" t="s">
        <v>56</v>
      </c>
      <c r="G1295" t="s">
        <v>283</v>
      </c>
      <c r="H1295" t="s">
        <v>50</v>
      </c>
      <c r="I1295" t="s">
        <v>375</v>
      </c>
      <c r="J1295" t="s">
        <v>315</v>
      </c>
      <c r="K1295" t="str">
        <f>"NA"</f>
        <v>0</v>
      </c>
      <c r="L1295">
        <v>10000</v>
      </c>
      <c r="M1295"/>
      <c r="N1295" t="s">
        <v>38</v>
      </c>
      <c r="O1295" t="s">
        <v>38</v>
      </c>
      <c r="P1295" t="s">
        <v>53</v>
      </c>
      <c r="Q1295" t="s">
        <v>38</v>
      </c>
      <c r="R1295" t="s">
        <v>38</v>
      </c>
      <c r="S1295" t="s">
        <v>42</v>
      </c>
      <c r="T1295" t="s">
        <v>42</v>
      </c>
      <c r="U1295" t="s">
        <v>1249</v>
      </c>
      <c r="V1295" t="s">
        <v>925</v>
      </c>
      <c r="W1295" t="s">
        <v>1249</v>
      </c>
      <c r="X1295" t="s">
        <v>824</v>
      </c>
      <c r="Y1295" t="s">
        <v>926</v>
      </c>
      <c r="Z1295" t="s">
        <v>47</v>
      </c>
      <c r="AA1295"/>
      <c r="AB1295"/>
      <c r="AC1295"/>
      <c r="AD1295"/>
    </row>
    <row r="1296" spans="1:30">
      <c r="A1296">
        <v>3110100086</v>
      </c>
      <c r="B1296" t="s">
        <v>30</v>
      </c>
      <c r="C1296" t="s">
        <v>61</v>
      </c>
      <c r="D1296" t="s">
        <v>71</v>
      </c>
      <c r="E1296" t="s">
        <v>118</v>
      </c>
      <c r="F1296" t="s">
        <v>56</v>
      </c>
      <c r="G1296" t="s">
        <v>283</v>
      </c>
      <c r="H1296" t="s">
        <v>50</v>
      </c>
      <c r="I1296" t="s">
        <v>375</v>
      </c>
      <c r="J1296" t="s">
        <v>315</v>
      </c>
      <c r="K1296" t="str">
        <f>"NA"</f>
        <v>0</v>
      </c>
      <c r="L1296">
        <v>10000</v>
      </c>
      <c r="M1296"/>
      <c r="N1296" t="s">
        <v>38</v>
      </c>
      <c r="O1296" t="s">
        <v>38</v>
      </c>
      <c r="P1296" t="s">
        <v>53</v>
      </c>
      <c r="Q1296" t="s">
        <v>38</v>
      </c>
      <c r="R1296" t="s">
        <v>38</v>
      </c>
      <c r="S1296" t="s">
        <v>42</v>
      </c>
      <c r="T1296" t="s">
        <v>42</v>
      </c>
      <c r="U1296" t="s">
        <v>1249</v>
      </c>
      <c r="V1296" t="s">
        <v>925</v>
      </c>
      <c r="W1296" t="s">
        <v>1249</v>
      </c>
      <c r="X1296" t="s">
        <v>824</v>
      </c>
      <c r="Y1296" t="s">
        <v>926</v>
      </c>
      <c r="Z1296" t="s">
        <v>47</v>
      </c>
      <c r="AA1296"/>
      <c r="AB1296"/>
      <c r="AC1296"/>
      <c r="AD1296"/>
    </row>
    <row r="1297" spans="1:30">
      <c r="A1297">
        <v>3110100099</v>
      </c>
      <c r="B1297" t="s">
        <v>30</v>
      </c>
      <c r="C1297" t="s">
        <v>61</v>
      </c>
      <c r="D1297" t="s">
        <v>71</v>
      </c>
      <c r="E1297" t="s">
        <v>72</v>
      </c>
      <c r="F1297" t="s">
        <v>64</v>
      </c>
      <c r="G1297" t="s">
        <v>99</v>
      </c>
      <c r="H1297" t="s">
        <v>50</v>
      </c>
      <c r="I1297" t="s">
        <v>408</v>
      </c>
      <c r="J1297" t="s">
        <v>412</v>
      </c>
      <c r="K1297" t="str">
        <f>"MZJ5D122635"</f>
        <v>0</v>
      </c>
      <c r="L1297">
        <v>30300</v>
      </c>
      <c r="M1297"/>
      <c r="N1297" t="s">
        <v>38</v>
      </c>
      <c r="O1297" t="s">
        <v>38</v>
      </c>
      <c r="P1297" t="s">
        <v>53</v>
      </c>
      <c r="Q1297" t="s">
        <v>38</v>
      </c>
      <c r="R1297" t="s">
        <v>38</v>
      </c>
      <c r="S1297" t="s">
        <v>42</v>
      </c>
      <c r="T1297" t="s">
        <v>42</v>
      </c>
      <c r="U1297" t="s">
        <v>926</v>
      </c>
      <c r="V1297" t="s">
        <v>636</v>
      </c>
      <c r="W1297" t="s">
        <v>926</v>
      </c>
      <c r="X1297" t="s">
        <v>824</v>
      </c>
      <c r="Y1297" t="s">
        <v>926</v>
      </c>
      <c r="Z1297" t="s">
        <v>47</v>
      </c>
      <c r="AA1297"/>
      <c r="AB1297"/>
      <c r="AC1297"/>
      <c r="AD1297" t="s">
        <v>638</v>
      </c>
    </row>
    <row r="1298" spans="1:30">
      <c r="A1298">
        <v>3110100098</v>
      </c>
      <c r="B1298" t="s">
        <v>30</v>
      </c>
      <c r="C1298" t="s">
        <v>61</v>
      </c>
      <c r="D1298" t="s">
        <v>71</v>
      </c>
      <c r="E1298" t="s">
        <v>72</v>
      </c>
      <c r="F1298" t="s">
        <v>64</v>
      </c>
      <c r="G1298" t="s">
        <v>99</v>
      </c>
      <c r="H1298" t="s">
        <v>50</v>
      </c>
      <c r="I1298" t="s">
        <v>375</v>
      </c>
      <c r="J1298" t="s">
        <v>1250</v>
      </c>
      <c r="K1298" t="str">
        <f>"mzj5d-123621"</f>
        <v>0</v>
      </c>
      <c r="L1298">
        <v>36000</v>
      </c>
      <c r="M1298"/>
      <c r="N1298" t="s">
        <v>38</v>
      </c>
      <c r="O1298" t="s">
        <v>38</v>
      </c>
      <c r="P1298" t="s">
        <v>53</v>
      </c>
      <c r="Q1298" t="s">
        <v>38</v>
      </c>
      <c r="R1298" t="s">
        <v>38</v>
      </c>
      <c r="S1298" t="s">
        <v>42</v>
      </c>
      <c r="T1298" t="s">
        <v>42</v>
      </c>
      <c r="U1298" t="s">
        <v>926</v>
      </c>
      <c r="V1298" t="s">
        <v>925</v>
      </c>
      <c r="W1298" t="s">
        <v>926</v>
      </c>
      <c r="X1298" t="s">
        <v>824</v>
      </c>
      <c r="Y1298" t="s">
        <v>926</v>
      </c>
      <c r="Z1298" t="s">
        <v>47</v>
      </c>
      <c r="AA1298"/>
      <c r="AB1298"/>
      <c r="AC1298"/>
      <c r="AD1298"/>
    </row>
    <row r="1299" spans="1:30">
      <c r="A1299">
        <v>3110100100</v>
      </c>
      <c r="B1299" t="s">
        <v>30</v>
      </c>
      <c r="C1299" t="s">
        <v>61</v>
      </c>
      <c r="D1299" t="s">
        <v>71</v>
      </c>
      <c r="E1299" t="s">
        <v>72</v>
      </c>
      <c r="F1299" t="s">
        <v>166</v>
      </c>
      <c r="G1299" t="s">
        <v>167</v>
      </c>
      <c r="H1299" t="s">
        <v>35</v>
      </c>
      <c r="I1299" t="s">
        <v>1251</v>
      </c>
      <c r="J1299" t="s">
        <v>1252</v>
      </c>
      <c r="K1299" t="str">
        <f>"NA"</f>
        <v>0</v>
      </c>
      <c r="L1299">
        <v>36000</v>
      </c>
      <c r="M1299"/>
      <c r="N1299" t="s">
        <v>38</v>
      </c>
      <c r="O1299" t="s">
        <v>38</v>
      </c>
      <c r="P1299" t="s">
        <v>53</v>
      </c>
      <c r="Q1299" t="s">
        <v>38</v>
      </c>
      <c r="R1299" t="s">
        <v>38</v>
      </c>
      <c r="S1299" t="s">
        <v>42</v>
      </c>
      <c r="T1299" t="s">
        <v>42</v>
      </c>
      <c r="U1299" t="s">
        <v>926</v>
      </c>
      <c r="V1299" t="s">
        <v>636</v>
      </c>
      <c r="W1299" t="s">
        <v>926</v>
      </c>
      <c r="X1299" t="s">
        <v>824</v>
      </c>
      <c r="Y1299" t="s">
        <v>926</v>
      </c>
      <c r="Z1299" t="s">
        <v>47</v>
      </c>
      <c r="AA1299"/>
      <c r="AB1299"/>
      <c r="AC1299"/>
      <c r="AD1299"/>
    </row>
    <row r="1300" spans="1:30">
      <c r="A1300">
        <v>3110100101</v>
      </c>
      <c r="B1300" t="s">
        <v>30</v>
      </c>
      <c r="C1300" t="s">
        <v>61</v>
      </c>
      <c r="D1300" t="s">
        <v>71</v>
      </c>
      <c r="E1300" t="s">
        <v>72</v>
      </c>
      <c r="F1300" t="s">
        <v>64</v>
      </c>
      <c r="G1300" t="s">
        <v>99</v>
      </c>
      <c r="H1300" t="s">
        <v>50</v>
      </c>
      <c r="I1300" t="s">
        <v>375</v>
      </c>
      <c r="J1300" t="s">
        <v>949</v>
      </c>
      <c r="K1300" t="str">
        <f>"n/a"</f>
        <v>0</v>
      </c>
      <c r="L1300">
        <v>36000</v>
      </c>
      <c r="M1300"/>
      <c r="N1300" t="s">
        <v>38</v>
      </c>
      <c r="O1300" t="s">
        <v>38</v>
      </c>
      <c r="P1300" t="s">
        <v>53</v>
      </c>
      <c r="Q1300" t="s">
        <v>38</v>
      </c>
      <c r="R1300" t="s">
        <v>38</v>
      </c>
      <c r="S1300" t="s">
        <v>42</v>
      </c>
      <c r="T1300" t="s">
        <v>42</v>
      </c>
      <c r="U1300" t="s">
        <v>926</v>
      </c>
      <c r="V1300" t="s">
        <v>925</v>
      </c>
      <c r="W1300" t="s">
        <v>926</v>
      </c>
      <c r="X1300" t="s">
        <v>824</v>
      </c>
      <c r="Y1300" t="s">
        <v>926</v>
      </c>
      <c r="Z1300" t="s">
        <v>47</v>
      </c>
      <c r="AA1300"/>
      <c r="AB1300"/>
      <c r="AC1300" t="s">
        <v>318</v>
      </c>
      <c r="AD1300"/>
    </row>
    <row r="1301" spans="1:30">
      <c r="A1301">
        <v>3110100028</v>
      </c>
      <c r="B1301" t="s">
        <v>30</v>
      </c>
      <c r="C1301" t="s">
        <v>61</v>
      </c>
      <c r="D1301" t="s">
        <v>71</v>
      </c>
      <c r="E1301" t="s">
        <v>55</v>
      </c>
      <c r="F1301" t="s">
        <v>143</v>
      </c>
      <c r="G1301" t="s">
        <v>144</v>
      </c>
      <c r="H1301" t="s">
        <v>50</v>
      </c>
      <c r="I1301" t="s">
        <v>375</v>
      </c>
      <c r="J1301" t="s">
        <v>59</v>
      </c>
      <c r="K1301" t="str">
        <f>"na"</f>
        <v>0</v>
      </c>
      <c r="L1301">
        <v>34335</v>
      </c>
      <c r="M1301"/>
      <c r="N1301" t="s">
        <v>38</v>
      </c>
      <c r="O1301" t="s">
        <v>38</v>
      </c>
      <c r="P1301" t="s">
        <v>53</v>
      </c>
      <c r="Q1301" t="s">
        <v>38</v>
      </c>
      <c r="R1301" t="s">
        <v>38</v>
      </c>
      <c r="S1301" t="s">
        <v>42</v>
      </c>
      <c r="T1301" t="s">
        <v>42</v>
      </c>
      <c r="U1301" t="s">
        <v>926</v>
      </c>
      <c r="V1301" t="s">
        <v>925</v>
      </c>
      <c r="W1301" t="s">
        <v>926</v>
      </c>
      <c r="X1301" t="s">
        <v>1253</v>
      </c>
      <c r="Y1301" t="s">
        <v>926</v>
      </c>
      <c r="Z1301" t="s">
        <v>47</v>
      </c>
      <c r="AA1301"/>
      <c r="AB1301"/>
      <c r="AC1301"/>
      <c r="AD1301"/>
    </row>
    <row r="1302" spans="1:30">
      <c r="A1302">
        <v>3110100027</v>
      </c>
      <c r="B1302" t="s">
        <v>30</v>
      </c>
      <c r="C1302" t="s">
        <v>61</v>
      </c>
      <c r="D1302" t="s">
        <v>71</v>
      </c>
      <c r="E1302" t="s">
        <v>55</v>
      </c>
      <c r="F1302" t="s">
        <v>113</v>
      </c>
      <c r="G1302" t="s">
        <v>1254</v>
      </c>
      <c r="H1302" t="s">
        <v>50</v>
      </c>
      <c r="I1302" t="s">
        <v>1255</v>
      </c>
      <c r="J1302" t="s">
        <v>1256</v>
      </c>
      <c r="K1302" t="str">
        <f>"na"</f>
        <v>0</v>
      </c>
      <c r="L1302">
        <v>100000</v>
      </c>
      <c r="M1302"/>
      <c r="N1302" t="s">
        <v>38</v>
      </c>
      <c r="O1302" t="s">
        <v>38</v>
      </c>
      <c r="P1302" t="s">
        <v>53</v>
      </c>
      <c r="Q1302" t="s">
        <v>38</v>
      </c>
      <c r="R1302" t="s">
        <v>38</v>
      </c>
      <c r="S1302" t="s">
        <v>42</v>
      </c>
      <c r="T1302" t="s">
        <v>42</v>
      </c>
      <c r="U1302" t="s">
        <v>926</v>
      </c>
      <c r="V1302" t="s">
        <v>925</v>
      </c>
      <c r="W1302" t="s">
        <v>926</v>
      </c>
      <c r="X1302" t="s">
        <v>1253</v>
      </c>
      <c r="Y1302" t="s">
        <v>926</v>
      </c>
      <c r="Z1302" t="s">
        <v>47</v>
      </c>
      <c r="AA1302"/>
      <c r="AB1302"/>
      <c r="AC1302"/>
      <c r="AD1302"/>
    </row>
    <row r="1303" spans="1:30">
      <c r="A1303">
        <v>2110060059</v>
      </c>
      <c r="B1303" t="s">
        <v>30</v>
      </c>
      <c r="C1303" t="s">
        <v>31</v>
      </c>
      <c r="D1303" t="s">
        <v>32</v>
      </c>
      <c r="E1303" t="s">
        <v>868</v>
      </c>
      <c r="F1303" t="s">
        <v>94</v>
      </c>
      <c r="G1303" t="s">
        <v>95</v>
      </c>
      <c r="H1303" t="s">
        <v>35</v>
      </c>
      <c r="I1303" t="s">
        <v>82</v>
      </c>
      <c r="J1303" t="s">
        <v>929</v>
      </c>
      <c r="K1303" t="str">
        <f>"TP1071"</f>
        <v>0</v>
      </c>
      <c r="L1303">
        <v>69636</v>
      </c>
      <c r="M1303"/>
      <c r="N1303" t="s">
        <v>1222</v>
      </c>
      <c r="O1303" t="s">
        <v>38</v>
      </c>
      <c r="P1303" t="s">
        <v>53</v>
      </c>
      <c r="Q1303" t="s">
        <v>38</v>
      </c>
      <c r="R1303" t="s">
        <v>38</v>
      </c>
      <c r="S1303" t="s">
        <v>42</v>
      </c>
      <c r="T1303" t="s">
        <v>42</v>
      </c>
      <c r="U1303" t="s">
        <v>1257</v>
      </c>
      <c r="V1303" t="s">
        <v>636</v>
      </c>
      <c r="W1303" t="s">
        <v>1257</v>
      </c>
      <c r="X1303" t="s">
        <v>824</v>
      </c>
      <c r="Y1303" t="s">
        <v>861</v>
      </c>
      <c r="Z1303" t="s">
        <v>47</v>
      </c>
      <c r="AA1303"/>
      <c r="AB1303"/>
      <c r="AC1303"/>
      <c r="AD1303" t="s">
        <v>638</v>
      </c>
    </row>
    <row r="1304" spans="1:30">
      <c r="A1304">
        <v>2110060150</v>
      </c>
      <c r="B1304" t="s">
        <v>30</v>
      </c>
      <c r="C1304" t="s">
        <v>31</v>
      </c>
      <c r="D1304" t="s">
        <v>32</v>
      </c>
      <c r="E1304" t="s">
        <v>93</v>
      </c>
      <c r="F1304" t="s">
        <v>94</v>
      </c>
      <c r="G1304" t="s">
        <v>95</v>
      </c>
      <c r="H1304" t="s">
        <v>35</v>
      </c>
      <c r="I1304" t="s">
        <v>82</v>
      </c>
      <c r="J1304" t="s">
        <v>315</v>
      </c>
      <c r="K1304" t="str">
        <f>"6812"</f>
        <v>0</v>
      </c>
      <c r="L1304">
        <v>69636</v>
      </c>
      <c r="M1304"/>
      <c r="N1304" t="s">
        <v>922</v>
      </c>
      <c r="O1304" t="s">
        <v>38</v>
      </c>
      <c r="P1304" t="s">
        <v>53</v>
      </c>
      <c r="Q1304" t="s">
        <v>38</v>
      </c>
      <c r="R1304" t="s">
        <v>38</v>
      </c>
      <c r="S1304" t="s">
        <v>42</v>
      </c>
      <c r="T1304" t="s">
        <v>42</v>
      </c>
      <c r="U1304" t="s">
        <v>1257</v>
      </c>
      <c r="V1304" t="s">
        <v>636</v>
      </c>
      <c r="W1304" t="s">
        <v>1257</v>
      </c>
      <c r="X1304" t="s">
        <v>824</v>
      </c>
      <c r="Y1304" t="s">
        <v>895</v>
      </c>
      <c r="Z1304" t="s">
        <v>47</v>
      </c>
      <c r="AA1304"/>
      <c r="AB1304"/>
      <c r="AC1304"/>
      <c r="AD1304" t="s">
        <v>638</v>
      </c>
    </row>
    <row r="1305" spans="1:30">
      <c r="A1305">
        <v>2110060151</v>
      </c>
      <c r="B1305" t="s">
        <v>30</v>
      </c>
      <c r="C1305" t="s">
        <v>31</v>
      </c>
      <c r="D1305" t="s">
        <v>32</v>
      </c>
      <c r="E1305" t="s">
        <v>93</v>
      </c>
      <c r="F1305" t="s">
        <v>94</v>
      </c>
      <c r="G1305" t="s">
        <v>95</v>
      </c>
      <c r="H1305" t="s">
        <v>35</v>
      </c>
      <c r="I1305" t="s">
        <v>82</v>
      </c>
      <c r="J1305" t="s">
        <v>1206</v>
      </c>
      <c r="K1305" t="str">
        <f>"14505"</f>
        <v>0</v>
      </c>
      <c r="L1305">
        <v>69636</v>
      </c>
      <c r="M1305"/>
      <c r="N1305" t="s">
        <v>922</v>
      </c>
      <c r="O1305" t="s">
        <v>38</v>
      </c>
      <c r="P1305" t="s">
        <v>53</v>
      </c>
      <c r="Q1305" t="s">
        <v>38</v>
      </c>
      <c r="R1305" t="s">
        <v>38</v>
      </c>
      <c r="S1305" t="s">
        <v>42</v>
      </c>
      <c r="T1305" t="s">
        <v>42</v>
      </c>
      <c r="U1305" t="s">
        <v>1257</v>
      </c>
      <c r="V1305" t="s">
        <v>636</v>
      </c>
      <c r="W1305" t="s">
        <v>1257</v>
      </c>
      <c r="X1305" t="s">
        <v>824</v>
      </c>
      <c r="Y1305" t="s">
        <v>895</v>
      </c>
      <c r="Z1305" t="s">
        <v>47</v>
      </c>
      <c r="AA1305"/>
      <c r="AB1305"/>
      <c r="AC1305"/>
      <c r="AD1305" t="s">
        <v>638</v>
      </c>
    </row>
    <row r="1306" spans="1:30">
      <c r="A1306">
        <v>2110060152</v>
      </c>
      <c r="B1306" t="s">
        <v>30</v>
      </c>
      <c r="C1306" t="s">
        <v>31</v>
      </c>
      <c r="D1306" t="s">
        <v>32</v>
      </c>
      <c r="E1306" t="s">
        <v>93</v>
      </c>
      <c r="F1306" t="s">
        <v>94</v>
      </c>
      <c r="G1306" t="s">
        <v>95</v>
      </c>
      <c r="H1306" t="s">
        <v>35</v>
      </c>
      <c r="I1306" t="s">
        <v>82</v>
      </c>
      <c r="J1306" t="s">
        <v>1206</v>
      </c>
      <c r="K1306" t="str">
        <f>"14510"</f>
        <v>0</v>
      </c>
      <c r="L1306">
        <v>69636</v>
      </c>
      <c r="M1306"/>
      <c r="N1306" t="s">
        <v>922</v>
      </c>
      <c r="O1306" t="s">
        <v>38</v>
      </c>
      <c r="P1306" t="s">
        <v>53</v>
      </c>
      <c r="Q1306" t="s">
        <v>38</v>
      </c>
      <c r="R1306" t="s">
        <v>38</v>
      </c>
      <c r="S1306" t="s">
        <v>42</v>
      </c>
      <c r="T1306" t="s">
        <v>42</v>
      </c>
      <c r="U1306" t="s">
        <v>1257</v>
      </c>
      <c r="V1306" t="s">
        <v>636</v>
      </c>
      <c r="W1306" t="s">
        <v>1257</v>
      </c>
      <c r="X1306" t="s">
        <v>824</v>
      </c>
      <c r="Y1306" t="s">
        <v>895</v>
      </c>
      <c r="Z1306" t="s">
        <v>47</v>
      </c>
      <c r="AA1306"/>
      <c r="AB1306"/>
      <c r="AC1306"/>
      <c r="AD1306" t="s">
        <v>638</v>
      </c>
    </row>
    <row r="1307" spans="1:30">
      <c r="A1307">
        <v>2110060153</v>
      </c>
      <c r="B1307" t="s">
        <v>30</v>
      </c>
      <c r="C1307" t="s">
        <v>31</v>
      </c>
      <c r="D1307" t="s">
        <v>32</v>
      </c>
      <c r="E1307" t="s">
        <v>93</v>
      </c>
      <c r="F1307" t="s">
        <v>94</v>
      </c>
      <c r="G1307" t="s">
        <v>95</v>
      </c>
      <c r="H1307" t="s">
        <v>35</v>
      </c>
      <c r="I1307" t="s">
        <v>82</v>
      </c>
      <c r="J1307" t="s">
        <v>1209</v>
      </c>
      <c r="K1307" t="str">
        <f>"TP1072"</f>
        <v>0</v>
      </c>
      <c r="L1307">
        <v>69636</v>
      </c>
      <c r="M1307"/>
      <c r="N1307" t="s">
        <v>922</v>
      </c>
      <c r="O1307" t="s">
        <v>38</v>
      </c>
      <c r="P1307" t="s">
        <v>53</v>
      </c>
      <c r="Q1307" t="s">
        <v>38</v>
      </c>
      <c r="R1307" t="s">
        <v>38</v>
      </c>
      <c r="S1307" t="s">
        <v>42</v>
      </c>
      <c r="T1307" t="s">
        <v>42</v>
      </c>
      <c r="U1307" t="s">
        <v>1257</v>
      </c>
      <c r="V1307" t="s">
        <v>636</v>
      </c>
      <c r="W1307" t="s">
        <v>1257</v>
      </c>
      <c r="X1307" t="s">
        <v>824</v>
      </c>
      <c r="Y1307" t="s">
        <v>895</v>
      </c>
      <c r="Z1307" t="s">
        <v>47</v>
      </c>
      <c r="AA1307"/>
      <c r="AB1307"/>
      <c r="AC1307"/>
      <c r="AD1307" t="s">
        <v>638</v>
      </c>
    </row>
    <row r="1308" spans="1:30">
      <c r="A1308">
        <v>2110060163</v>
      </c>
      <c r="B1308" t="s">
        <v>30</v>
      </c>
      <c r="C1308" t="s">
        <v>31</v>
      </c>
      <c r="D1308" t="s">
        <v>32</v>
      </c>
      <c r="E1308" t="s">
        <v>93</v>
      </c>
      <c r="F1308" t="s">
        <v>94</v>
      </c>
      <c r="G1308" t="s">
        <v>95</v>
      </c>
      <c r="H1308" t="s">
        <v>35</v>
      </c>
      <c r="I1308" t="s">
        <v>82</v>
      </c>
      <c r="J1308" t="s">
        <v>929</v>
      </c>
      <c r="K1308" t="str">
        <f>"6813"</f>
        <v>0</v>
      </c>
      <c r="L1308">
        <v>69636</v>
      </c>
      <c r="M1308"/>
      <c r="N1308" t="s">
        <v>922</v>
      </c>
      <c r="O1308" t="s">
        <v>38</v>
      </c>
      <c r="P1308" t="s">
        <v>53</v>
      </c>
      <c r="Q1308" t="s">
        <v>38</v>
      </c>
      <c r="R1308" t="s">
        <v>38</v>
      </c>
      <c r="S1308" t="s">
        <v>42</v>
      </c>
      <c r="T1308" t="s">
        <v>42</v>
      </c>
      <c r="U1308" t="s">
        <v>1257</v>
      </c>
      <c r="V1308" t="s">
        <v>636</v>
      </c>
      <c r="W1308" t="s">
        <v>1257</v>
      </c>
      <c r="X1308" t="s">
        <v>824</v>
      </c>
      <c r="Y1308" t="s">
        <v>895</v>
      </c>
      <c r="Z1308" t="s">
        <v>47</v>
      </c>
      <c r="AA1308"/>
      <c r="AB1308"/>
      <c r="AC1308"/>
      <c r="AD1308" t="s">
        <v>1258</v>
      </c>
    </row>
    <row r="1309" spans="1:30">
      <c r="A1309">
        <v>2110060165</v>
      </c>
      <c r="B1309" t="s">
        <v>30</v>
      </c>
      <c r="C1309" t="s">
        <v>31</v>
      </c>
      <c r="D1309" t="s">
        <v>32</v>
      </c>
      <c r="E1309" t="s">
        <v>93</v>
      </c>
      <c r="F1309" t="s">
        <v>94</v>
      </c>
      <c r="G1309" t="s">
        <v>95</v>
      </c>
      <c r="H1309" t="s">
        <v>35</v>
      </c>
      <c r="I1309" t="s">
        <v>82</v>
      </c>
      <c r="J1309" t="s">
        <v>1209</v>
      </c>
      <c r="K1309" t="str">
        <f>"TP1069"</f>
        <v>0</v>
      </c>
      <c r="L1309">
        <v>69636</v>
      </c>
      <c r="M1309"/>
      <c r="N1309" t="s">
        <v>1259</v>
      </c>
      <c r="O1309" t="s">
        <v>38</v>
      </c>
      <c r="P1309" t="s">
        <v>53</v>
      </c>
      <c r="Q1309" t="s">
        <v>38</v>
      </c>
      <c r="R1309" t="s">
        <v>38</v>
      </c>
      <c r="S1309" t="s">
        <v>42</v>
      </c>
      <c r="T1309" t="s">
        <v>42</v>
      </c>
      <c r="U1309" t="s">
        <v>1257</v>
      </c>
      <c r="V1309" t="s">
        <v>636</v>
      </c>
      <c r="W1309" t="s">
        <v>1257</v>
      </c>
      <c r="X1309" t="s">
        <v>824</v>
      </c>
      <c r="Y1309" t="s">
        <v>895</v>
      </c>
      <c r="Z1309" t="s">
        <v>47</v>
      </c>
      <c r="AA1309"/>
      <c r="AB1309"/>
      <c r="AC1309"/>
      <c r="AD1309" t="s">
        <v>638</v>
      </c>
    </row>
    <row r="1310" spans="1:30">
      <c r="A1310">
        <v>2110060166</v>
      </c>
      <c r="B1310" t="s">
        <v>30</v>
      </c>
      <c r="C1310" t="s">
        <v>31</v>
      </c>
      <c r="D1310" t="s">
        <v>32</v>
      </c>
      <c r="E1310" t="s">
        <v>93</v>
      </c>
      <c r="F1310" t="s">
        <v>94</v>
      </c>
      <c r="G1310" t="s">
        <v>95</v>
      </c>
      <c r="H1310" t="s">
        <v>35</v>
      </c>
      <c r="I1310" t="s">
        <v>82</v>
      </c>
      <c r="J1310" t="s">
        <v>1209</v>
      </c>
      <c r="K1310" t="str">
        <f>"TP1070"</f>
        <v>0</v>
      </c>
      <c r="L1310">
        <v>69636</v>
      </c>
      <c r="M1310"/>
      <c r="N1310" t="s">
        <v>1259</v>
      </c>
      <c r="O1310" t="s">
        <v>38</v>
      </c>
      <c r="P1310" t="s">
        <v>53</v>
      </c>
      <c r="Q1310" t="s">
        <v>38</v>
      </c>
      <c r="R1310" t="s">
        <v>38</v>
      </c>
      <c r="S1310" t="s">
        <v>42</v>
      </c>
      <c r="T1310" t="s">
        <v>42</v>
      </c>
      <c r="U1310" t="s">
        <v>1257</v>
      </c>
      <c r="V1310" t="s">
        <v>636</v>
      </c>
      <c r="W1310" t="s">
        <v>1257</v>
      </c>
      <c r="X1310" t="s">
        <v>824</v>
      </c>
      <c r="Y1310" t="s">
        <v>895</v>
      </c>
      <c r="Z1310" t="s">
        <v>47</v>
      </c>
      <c r="AA1310"/>
      <c r="AB1310"/>
      <c r="AC1310"/>
      <c r="AD1310" t="s">
        <v>638</v>
      </c>
    </row>
    <row r="1311" spans="1:30">
      <c r="A1311">
        <v>2110060146</v>
      </c>
      <c r="B1311" t="s">
        <v>30</v>
      </c>
      <c r="C1311" t="s">
        <v>31</v>
      </c>
      <c r="D1311" t="s">
        <v>32</v>
      </c>
      <c r="E1311" t="s">
        <v>344</v>
      </c>
      <c r="F1311" t="s">
        <v>344</v>
      </c>
      <c r="G1311" t="s">
        <v>1197</v>
      </c>
      <c r="H1311" t="s">
        <v>35</v>
      </c>
      <c r="I1311" t="s">
        <v>196</v>
      </c>
      <c r="J1311" t="s">
        <v>1260</v>
      </c>
      <c r="K1311" t="str">
        <f>"45209"</f>
        <v>0</v>
      </c>
      <c r="L1311">
        <v>665000</v>
      </c>
      <c r="M1311"/>
      <c r="N1311" t="s">
        <v>1261</v>
      </c>
      <c r="O1311" t="s">
        <v>38</v>
      </c>
      <c r="P1311" t="s">
        <v>53</v>
      </c>
      <c r="Q1311" t="s">
        <v>38</v>
      </c>
      <c r="R1311" t="s">
        <v>38</v>
      </c>
      <c r="S1311" t="s">
        <v>42</v>
      </c>
      <c r="T1311" t="s">
        <v>42</v>
      </c>
      <c r="U1311" t="s">
        <v>1257</v>
      </c>
      <c r="V1311" t="s">
        <v>636</v>
      </c>
      <c r="W1311" t="s">
        <v>1257</v>
      </c>
      <c r="X1311" t="s">
        <v>824</v>
      </c>
      <c r="Y1311" t="s">
        <v>895</v>
      </c>
      <c r="Z1311" t="s">
        <v>47</v>
      </c>
      <c r="AA1311"/>
      <c r="AB1311"/>
      <c r="AC1311"/>
      <c r="AD1311" t="s">
        <v>638</v>
      </c>
    </row>
    <row r="1312" spans="1:30">
      <c r="A1312">
        <v>2110060147</v>
      </c>
      <c r="B1312" t="s">
        <v>30</v>
      </c>
      <c r="C1312" t="s">
        <v>31</v>
      </c>
      <c r="D1312" t="s">
        <v>32</v>
      </c>
      <c r="E1312" t="s">
        <v>344</v>
      </c>
      <c r="F1312" t="s">
        <v>344</v>
      </c>
      <c r="G1312" t="s">
        <v>1197</v>
      </c>
      <c r="H1312" t="s">
        <v>35</v>
      </c>
      <c r="I1312" t="s">
        <v>196</v>
      </c>
      <c r="J1312" t="s">
        <v>985</v>
      </c>
      <c r="K1312" t="str">
        <f>"45777"</f>
        <v>0</v>
      </c>
      <c r="L1312">
        <v>665000</v>
      </c>
      <c r="M1312"/>
      <c r="N1312" t="s">
        <v>1261</v>
      </c>
      <c r="O1312" t="s">
        <v>38</v>
      </c>
      <c r="P1312" t="s">
        <v>53</v>
      </c>
      <c r="Q1312" t="s">
        <v>38</v>
      </c>
      <c r="R1312" t="s">
        <v>38</v>
      </c>
      <c r="S1312" t="s">
        <v>42</v>
      </c>
      <c r="T1312" t="s">
        <v>42</v>
      </c>
      <c r="U1312" t="s">
        <v>1257</v>
      </c>
      <c r="V1312" t="s">
        <v>636</v>
      </c>
      <c r="W1312" t="s">
        <v>1257</v>
      </c>
      <c r="X1312" t="s">
        <v>824</v>
      </c>
      <c r="Y1312" t="s">
        <v>895</v>
      </c>
      <c r="Z1312" t="s">
        <v>47</v>
      </c>
      <c r="AA1312"/>
      <c r="AB1312"/>
      <c r="AC1312"/>
      <c r="AD1312" t="s">
        <v>638</v>
      </c>
    </row>
    <row r="1313" spans="1:30">
      <c r="A1313">
        <v>2110060155</v>
      </c>
      <c r="B1313" t="s">
        <v>30</v>
      </c>
      <c r="C1313" t="s">
        <v>31</v>
      </c>
      <c r="D1313" t="s">
        <v>32</v>
      </c>
      <c r="E1313" t="s">
        <v>93</v>
      </c>
      <c r="F1313" t="s">
        <v>286</v>
      </c>
      <c r="G1313" t="s">
        <v>287</v>
      </c>
      <c r="H1313" t="s">
        <v>35</v>
      </c>
      <c r="I1313" t="s">
        <v>82</v>
      </c>
      <c r="J1313" t="s">
        <v>1262</v>
      </c>
      <c r="K1313" t="str">
        <f>"5365"</f>
        <v>0</v>
      </c>
      <c r="L1313">
        <v>67950</v>
      </c>
      <c r="M1313"/>
      <c r="N1313" t="s">
        <v>1263</v>
      </c>
      <c r="O1313" t="s">
        <v>38</v>
      </c>
      <c r="P1313" t="s">
        <v>53</v>
      </c>
      <c r="Q1313" t="s">
        <v>1263</v>
      </c>
      <c r="R1313" t="s">
        <v>1264</v>
      </c>
      <c r="S1313" t="s">
        <v>42</v>
      </c>
      <c r="T1313" t="s">
        <v>42</v>
      </c>
      <c r="U1313" t="s">
        <v>895</v>
      </c>
      <c r="V1313" t="s">
        <v>636</v>
      </c>
      <c r="W1313" t="s">
        <v>895</v>
      </c>
      <c r="X1313" t="s">
        <v>824</v>
      </c>
      <c r="Y1313" t="s">
        <v>895</v>
      </c>
      <c r="Z1313" t="s">
        <v>47</v>
      </c>
      <c r="AA1313"/>
      <c r="AB1313"/>
      <c r="AC1313"/>
      <c r="AD1313"/>
    </row>
    <row r="1314" spans="1:30">
      <c r="A1314">
        <v>2110060020</v>
      </c>
      <c r="B1314" t="s">
        <v>30</v>
      </c>
      <c r="C1314" t="s">
        <v>31</v>
      </c>
      <c r="D1314" t="s">
        <v>32</v>
      </c>
      <c r="E1314" t="s">
        <v>446</v>
      </c>
      <c r="F1314" t="s">
        <v>147</v>
      </c>
      <c r="G1314" t="s">
        <v>360</v>
      </c>
      <c r="H1314" t="s">
        <v>35</v>
      </c>
      <c r="I1314" t="s">
        <v>420</v>
      </c>
      <c r="J1314" t="s">
        <v>1265</v>
      </c>
      <c r="K1314" t="str">
        <f>"48428328"</f>
        <v>0</v>
      </c>
      <c r="L1314">
        <v>719000</v>
      </c>
      <c r="M1314"/>
      <c r="N1314" t="s">
        <v>867</v>
      </c>
      <c r="O1314" t="s">
        <v>38</v>
      </c>
      <c r="P1314" t="s">
        <v>53</v>
      </c>
      <c r="Q1314" t="s">
        <v>867</v>
      </c>
      <c r="R1314" t="s">
        <v>1266</v>
      </c>
      <c r="S1314" t="s">
        <v>42</v>
      </c>
      <c r="T1314" t="s">
        <v>42</v>
      </c>
      <c r="U1314" t="s">
        <v>885</v>
      </c>
      <c r="V1314" t="s">
        <v>636</v>
      </c>
      <c r="W1314" t="s">
        <v>885</v>
      </c>
      <c r="X1314" t="s">
        <v>824</v>
      </c>
      <c r="Y1314" t="s">
        <v>885</v>
      </c>
      <c r="Z1314" t="s">
        <v>47</v>
      </c>
      <c r="AA1314"/>
      <c r="AB1314"/>
      <c r="AC1314"/>
      <c r="AD1314"/>
    </row>
    <row r="1315" spans="1:30">
      <c r="A1315">
        <v>2110060021</v>
      </c>
      <c r="B1315" t="s">
        <v>30</v>
      </c>
      <c r="C1315" t="s">
        <v>31</v>
      </c>
      <c r="D1315" t="s">
        <v>32</v>
      </c>
      <c r="E1315" t="s">
        <v>446</v>
      </c>
      <c r="F1315" t="s">
        <v>147</v>
      </c>
      <c r="G1315" t="s">
        <v>360</v>
      </c>
      <c r="H1315" t="s">
        <v>35</v>
      </c>
      <c r="I1315" t="s">
        <v>420</v>
      </c>
      <c r="J1315" t="s">
        <v>1265</v>
      </c>
      <c r="K1315" t="str">
        <f>"48428320"</f>
        <v>0</v>
      </c>
      <c r="L1315">
        <v>719000</v>
      </c>
      <c r="M1315"/>
      <c r="N1315" t="s">
        <v>867</v>
      </c>
      <c r="O1315" t="s">
        <v>38</v>
      </c>
      <c r="P1315" t="s">
        <v>53</v>
      </c>
      <c r="Q1315" t="s">
        <v>867</v>
      </c>
      <c r="R1315" t="s">
        <v>1266</v>
      </c>
      <c r="S1315" t="s">
        <v>42</v>
      </c>
      <c r="T1315" t="s">
        <v>42</v>
      </c>
      <c r="U1315" t="s">
        <v>885</v>
      </c>
      <c r="V1315" t="s">
        <v>636</v>
      </c>
      <c r="W1315" t="s">
        <v>885</v>
      </c>
      <c r="X1315" t="s">
        <v>824</v>
      </c>
      <c r="Y1315" t="s">
        <v>885</v>
      </c>
      <c r="Z1315" t="s">
        <v>47</v>
      </c>
      <c r="AA1315"/>
      <c r="AB1315"/>
      <c r="AC1315"/>
      <c r="AD1315"/>
    </row>
    <row r="1316" spans="1:30">
      <c r="A1316">
        <v>2110060022</v>
      </c>
      <c r="B1316" t="s">
        <v>30</v>
      </c>
      <c r="C1316" t="s">
        <v>31</v>
      </c>
      <c r="D1316" t="s">
        <v>32</v>
      </c>
      <c r="E1316" t="s">
        <v>446</v>
      </c>
      <c r="F1316" t="s">
        <v>147</v>
      </c>
      <c r="G1316" t="s">
        <v>360</v>
      </c>
      <c r="H1316" t="s">
        <v>35</v>
      </c>
      <c r="I1316" t="s">
        <v>420</v>
      </c>
      <c r="J1316" t="s">
        <v>1265</v>
      </c>
      <c r="K1316" t="str">
        <f>"48346124"</f>
        <v>0</v>
      </c>
      <c r="L1316">
        <v>719000</v>
      </c>
      <c r="M1316"/>
      <c r="N1316" t="s">
        <v>867</v>
      </c>
      <c r="O1316" t="s">
        <v>38</v>
      </c>
      <c r="P1316" t="s">
        <v>53</v>
      </c>
      <c r="Q1316" t="s">
        <v>867</v>
      </c>
      <c r="R1316" t="s">
        <v>1266</v>
      </c>
      <c r="S1316" t="s">
        <v>42</v>
      </c>
      <c r="T1316" t="s">
        <v>42</v>
      </c>
      <c r="U1316" t="s">
        <v>885</v>
      </c>
      <c r="V1316" t="s">
        <v>636</v>
      </c>
      <c r="W1316" t="s">
        <v>885</v>
      </c>
      <c r="X1316" t="s">
        <v>824</v>
      </c>
      <c r="Y1316" t="s">
        <v>885</v>
      </c>
      <c r="Z1316" t="s">
        <v>47</v>
      </c>
      <c r="AA1316"/>
      <c r="AB1316"/>
      <c r="AC1316"/>
      <c r="AD1316"/>
    </row>
    <row r="1317" spans="1:30">
      <c r="A1317">
        <v>2110060023</v>
      </c>
      <c r="B1317" t="s">
        <v>30</v>
      </c>
      <c r="C1317" t="s">
        <v>31</v>
      </c>
      <c r="D1317" t="s">
        <v>32</v>
      </c>
      <c r="E1317" t="s">
        <v>446</v>
      </c>
      <c r="F1317" t="s">
        <v>147</v>
      </c>
      <c r="G1317" t="s">
        <v>360</v>
      </c>
      <c r="H1317" t="s">
        <v>35</v>
      </c>
      <c r="I1317" t="s">
        <v>420</v>
      </c>
      <c r="J1317" t="s">
        <v>1265</v>
      </c>
      <c r="K1317" t="str">
        <f>"48423305"</f>
        <v>0</v>
      </c>
      <c r="L1317">
        <v>719000</v>
      </c>
      <c r="M1317"/>
      <c r="N1317" t="s">
        <v>867</v>
      </c>
      <c r="O1317" t="s">
        <v>38</v>
      </c>
      <c r="P1317" t="s">
        <v>53</v>
      </c>
      <c r="Q1317" t="s">
        <v>867</v>
      </c>
      <c r="R1317" t="s">
        <v>1266</v>
      </c>
      <c r="S1317" t="s">
        <v>42</v>
      </c>
      <c r="T1317" t="s">
        <v>42</v>
      </c>
      <c r="U1317" t="s">
        <v>885</v>
      </c>
      <c r="V1317" t="s">
        <v>636</v>
      </c>
      <c r="W1317" t="s">
        <v>885</v>
      </c>
      <c r="X1317" t="s">
        <v>824</v>
      </c>
      <c r="Y1317" t="s">
        <v>885</v>
      </c>
      <c r="Z1317" t="s">
        <v>47</v>
      </c>
      <c r="AA1317"/>
      <c r="AB1317"/>
      <c r="AC1317"/>
      <c r="AD1317"/>
    </row>
    <row r="1318" spans="1:30">
      <c r="A1318">
        <v>2110060024</v>
      </c>
      <c r="B1318" t="s">
        <v>30</v>
      </c>
      <c r="C1318" t="s">
        <v>31</v>
      </c>
      <c r="D1318" t="s">
        <v>32</v>
      </c>
      <c r="E1318" t="s">
        <v>446</v>
      </c>
      <c r="F1318" t="s">
        <v>147</v>
      </c>
      <c r="G1318" t="s">
        <v>360</v>
      </c>
      <c r="H1318" t="s">
        <v>35</v>
      </c>
      <c r="I1318" t="s">
        <v>420</v>
      </c>
      <c r="J1318" t="s">
        <v>1265</v>
      </c>
      <c r="K1318" t="str">
        <f>"48428361"</f>
        <v>0</v>
      </c>
      <c r="L1318">
        <v>719000</v>
      </c>
      <c r="M1318"/>
      <c r="N1318" t="s">
        <v>867</v>
      </c>
      <c r="O1318" t="s">
        <v>38</v>
      </c>
      <c r="P1318" t="s">
        <v>53</v>
      </c>
      <c r="Q1318" t="s">
        <v>867</v>
      </c>
      <c r="R1318" t="s">
        <v>1266</v>
      </c>
      <c r="S1318" t="s">
        <v>42</v>
      </c>
      <c r="T1318" t="s">
        <v>42</v>
      </c>
      <c r="U1318" t="s">
        <v>885</v>
      </c>
      <c r="V1318" t="s">
        <v>636</v>
      </c>
      <c r="W1318" t="s">
        <v>885</v>
      </c>
      <c r="X1318" t="s">
        <v>824</v>
      </c>
      <c r="Y1318" t="s">
        <v>885</v>
      </c>
      <c r="Z1318" t="s">
        <v>47</v>
      </c>
      <c r="AA1318"/>
      <c r="AB1318"/>
      <c r="AC1318"/>
      <c r="AD1318"/>
    </row>
    <row r="1319" spans="1:30">
      <c r="A1319">
        <v>2110060025</v>
      </c>
      <c r="B1319" t="s">
        <v>30</v>
      </c>
      <c r="C1319" t="s">
        <v>31</v>
      </c>
      <c r="D1319" t="s">
        <v>32</v>
      </c>
      <c r="E1319" t="s">
        <v>446</v>
      </c>
      <c r="F1319" t="s">
        <v>147</v>
      </c>
      <c r="G1319" t="s">
        <v>360</v>
      </c>
      <c r="H1319" t="s">
        <v>35</v>
      </c>
      <c r="I1319" t="s">
        <v>420</v>
      </c>
      <c r="J1319" t="s">
        <v>1265</v>
      </c>
      <c r="K1319" t="str">
        <f>"48422517"</f>
        <v>0</v>
      </c>
      <c r="L1319">
        <v>719000</v>
      </c>
      <c r="M1319"/>
      <c r="N1319" t="s">
        <v>867</v>
      </c>
      <c r="O1319" t="s">
        <v>38</v>
      </c>
      <c r="P1319" t="s">
        <v>53</v>
      </c>
      <c r="Q1319" t="s">
        <v>867</v>
      </c>
      <c r="R1319" t="s">
        <v>1266</v>
      </c>
      <c r="S1319" t="s">
        <v>42</v>
      </c>
      <c r="T1319" t="s">
        <v>42</v>
      </c>
      <c r="U1319" t="s">
        <v>885</v>
      </c>
      <c r="V1319" t="s">
        <v>636</v>
      </c>
      <c r="W1319" t="s">
        <v>885</v>
      </c>
      <c r="X1319" t="s">
        <v>824</v>
      </c>
      <c r="Y1319" t="s">
        <v>885</v>
      </c>
      <c r="Z1319" t="s">
        <v>47</v>
      </c>
      <c r="AA1319"/>
      <c r="AB1319"/>
      <c r="AC1319"/>
      <c r="AD1319"/>
    </row>
    <row r="1320" spans="1:30">
      <c r="A1320">
        <v>2110060114</v>
      </c>
      <c r="B1320" t="s">
        <v>30</v>
      </c>
      <c r="C1320" t="s">
        <v>31</v>
      </c>
      <c r="D1320" t="s">
        <v>32</v>
      </c>
      <c r="E1320" t="s">
        <v>48</v>
      </c>
      <c r="F1320" t="s">
        <v>48</v>
      </c>
      <c r="G1320" t="s">
        <v>620</v>
      </c>
      <c r="H1320" t="s">
        <v>50</v>
      </c>
      <c r="I1320" t="s">
        <v>621</v>
      </c>
      <c r="J1320" t="s">
        <v>1267</v>
      </c>
      <c r="K1320" t="str">
        <f>"151012"</f>
        <v>0</v>
      </c>
      <c r="L1320">
        <v>100000</v>
      </c>
      <c r="M1320"/>
      <c r="N1320" t="s">
        <v>1268</v>
      </c>
      <c r="O1320" t="s">
        <v>38</v>
      </c>
      <c r="P1320" t="s">
        <v>53</v>
      </c>
      <c r="Q1320" t="s">
        <v>1268</v>
      </c>
      <c r="R1320" t="s">
        <v>1269</v>
      </c>
      <c r="S1320" t="s">
        <v>42</v>
      </c>
      <c r="T1320" t="s">
        <v>42</v>
      </c>
      <c r="U1320" t="s">
        <v>885</v>
      </c>
      <c r="V1320" t="s">
        <v>636</v>
      </c>
      <c r="W1320" t="s">
        <v>885</v>
      </c>
      <c r="X1320" t="s">
        <v>824</v>
      </c>
      <c r="Y1320" t="s">
        <v>885</v>
      </c>
      <c r="Z1320" t="s">
        <v>47</v>
      </c>
      <c r="AA1320"/>
      <c r="AB1320"/>
      <c r="AC1320"/>
      <c r="AD1320"/>
    </row>
    <row r="1321" spans="1:30">
      <c r="A1321">
        <v>2110060113</v>
      </c>
      <c r="B1321" t="s">
        <v>30</v>
      </c>
      <c r="C1321" t="s">
        <v>31</v>
      </c>
      <c r="D1321" t="s">
        <v>32</v>
      </c>
      <c r="E1321" t="s">
        <v>48</v>
      </c>
      <c r="F1321" t="s">
        <v>48</v>
      </c>
      <c r="G1321" t="s">
        <v>620</v>
      </c>
      <c r="H1321" t="s">
        <v>50</v>
      </c>
      <c r="I1321" t="s">
        <v>621</v>
      </c>
      <c r="J1321" t="s">
        <v>1270</v>
      </c>
      <c r="K1321" t="str">
        <f>"191067"</f>
        <v>0</v>
      </c>
      <c r="L1321">
        <v>100000</v>
      </c>
      <c r="M1321"/>
      <c r="N1321" t="s">
        <v>1268</v>
      </c>
      <c r="O1321" t="s">
        <v>38</v>
      </c>
      <c r="P1321" t="s">
        <v>53</v>
      </c>
      <c r="Q1321" t="s">
        <v>1268</v>
      </c>
      <c r="R1321" t="s">
        <v>1269</v>
      </c>
      <c r="S1321" t="s">
        <v>42</v>
      </c>
      <c r="T1321" t="s">
        <v>42</v>
      </c>
      <c r="U1321" t="s">
        <v>885</v>
      </c>
      <c r="V1321" t="s">
        <v>636</v>
      </c>
      <c r="W1321" t="s">
        <v>885</v>
      </c>
      <c r="X1321" t="s">
        <v>824</v>
      </c>
      <c r="Y1321" t="s">
        <v>885</v>
      </c>
      <c r="Z1321" t="s">
        <v>47</v>
      </c>
      <c r="AA1321"/>
      <c r="AB1321"/>
      <c r="AC1321"/>
      <c r="AD1321"/>
    </row>
    <row r="1322" spans="1:30">
      <c r="A1322">
        <v>2110060040</v>
      </c>
      <c r="B1322" t="s">
        <v>30</v>
      </c>
      <c r="C1322" t="s">
        <v>31</v>
      </c>
      <c r="D1322" t="s">
        <v>32</v>
      </c>
      <c r="E1322" t="s">
        <v>471</v>
      </c>
      <c r="F1322" t="s">
        <v>166</v>
      </c>
      <c r="G1322" t="s">
        <v>167</v>
      </c>
      <c r="H1322" t="s">
        <v>35</v>
      </c>
      <c r="I1322" t="s">
        <v>311</v>
      </c>
      <c r="J1322" t="s">
        <v>1271</v>
      </c>
      <c r="K1322" t="str">
        <f>"DE7580A157"</f>
        <v>0</v>
      </c>
      <c r="L1322">
        <v>529100</v>
      </c>
      <c r="M1322"/>
      <c r="N1322" t="s">
        <v>865</v>
      </c>
      <c r="O1322" t="s">
        <v>38</v>
      </c>
      <c r="P1322" t="s">
        <v>53</v>
      </c>
      <c r="Q1322" t="s">
        <v>38</v>
      </c>
      <c r="R1322" t="s">
        <v>38</v>
      </c>
      <c r="S1322" t="s">
        <v>42</v>
      </c>
      <c r="T1322" t="s">
        <v>42</v>
      </c>
      <c r="U1322" t="s">
        <v>861</v>
      </c>
      <c r="V1322" t="s">
        <v>636</v>
      </c>
      <c r="W1322" t="s">
        <v>861</v>
      </c>
      <c r="X1322" t="s">
        <v>824</v>
      </c>
      <c r="Y1322" t="s">
        <v>861</v>
      </c>
      <c r="Z1322" t="s">
        <v>47</v>
      </c>
      <c r="AA1322"/>
      <c r="AB1322"/>
      <c r="AC1322"/>
      <c r="AD1322"/>
    </row>
    <row r="1323" spans="1:30">
      <c r="A1323">
        <v>2110060041</v>
      </c>
      <c r="B1323" t="s">
        <v>30</v>
      </c>
      <c r="C1323" t="s">
        <v>31</v>
      </c>
      <c r="D1323" t="s">
        <v>32</v>
      </c>
      <c r="E1323" t="s">
        <v>471</v>
      </c>
      <c r="F1323" t="s">
        <v>166</v>
      </c>
      <c r="G1323" t="s">
        <v>167</v>
      </c>
      <c r="H1323" t="s">
        <v>35</v>
      </c>
      <c r="I1323" t="s">
        <v>311</v>
      </c>
      <c r="J1323" t="s">
        <v>312</v>
      </c>
      <c r="K1323" t="str">
        <f>"DE7580A1DU"</f>
        <v>0</v>
      </c>
      <c r="L1323">
        <v>529100</v>
      </c>
      <c r="M1323"/>
      <c r="N1323" t="s">
        <v>865</v>
      </c>
      <c r="O1323" t="s">
        <v>38</v>
      </c>
      <c r="P1323" t="s">
        <v>53</v>
      </c>
      <c r="Q1323" t="s">
        <v>38</v>
      </c>
      <c r="R1323" t="s">
        <v>38</v>
      </c>
      <c r="S1323" t="s">
        <v>42</v>
      </c>
      <c r="T1323" t="s">
        <v>42</v>
      </c>
      <c r="U1323" t="s">
        <v>861</v>
      </c>
      <c r="V1323" t="s">
        <v>636</v>
      </c>
      <c r="W1323" t="s">
        <v>861</v>
      </c>
      <c r="X1323" t="s">
        <v>824</v>
      </c>
      <c r="Y1323" t="s">
        <v>861</v>
      </c>
      <c r="Z1323" t="s">
        <v>47</v>
      </c>
      <c r="AA1323"/>
      <c r="AB1323"/>
      <c r="AC1323"/>
      <c r="AD1323"/>
    </row>
    <row r="1324" spans="1:30">
      <c r="A1324">
        <v>2110060042</v>
      </c>
      <c r="B1324" t="s">
        <v>30</v>
      </c>
      <c r="C1324" t="s">
        <v>31</v>
      </c>
      <c r="D1324" t="s">
        <v>32</v>
      </c>
      <c r="E1324" t="s">
        <v>471</v>
      </c>
      <c r="F1324" t="s">
        <v>166</v>
      </c>
      <c r="G1324" t="s">
        <v>167</v>
      </c>
      <c r="H1324" t="s">
        <v>35</v>
      </c>
      <c r="I1324" t="s">
        <v>311</v>
      </c>
      <c r="J1324" t="s">
        <v>312</v>
      </c>
      <c r="K1324" t="str">
        <f>"DE7580A1DH"</f>
        <v>0</v>
      </c>
      <c r="L1324">
        <v>529100</v>
      </c>
      <c r="M1324"/>
      <c r="N1324" t="s">
        <v>865</v>
      </c>
      <c r="O1324" t="s">
        <v>38</v>
      </c>
      <c r="P1324" t="s">
        <v>53</v>
      </c>
      <c r="Q1324" t="s">
        <v>38</v>
      </c>
      <c r="R1324" t="s">
        <v>38</v>
      </c>
      <c r="S1324" t="s">
        <v>42</v>
      </c>
      <c r="T1324" t="s">
        <v>42</v>
      </c>
      <c r="U1324" t="s">
        <v>861</v>
      </c>
      <c r="V1324" t="s">
        <v>636</v>
      </c>
      <c r="W1324" t="s">
        <v>861</v>
      </c>
      <c r="X1324" t="s">
        <v>824</v>
      </c>
      <c r="Y1324" t="s">
        <v>861</v>
      </c>
      <c r="Z1324" t="s">
        <v>47</v>
      </c>
      <c r="AA1324"/>
      <c r="AB1324"/>
      <c r="AC1324"/>
      <c r="AD1324"/>
    </row>
    <row r="1325" spans="1:30">
      <c r="A1325">
        <v>2110060043</v>
      </c>
      <c r="B1325" t="s">
        <v>30</v>
      </c>
      <c r="C1325" t="s">
        <v>31</v>
      </c>
      <c r="D1325" t="s">
        <v>32</v>
      </c>
      <c r="E1325" t="s">
        <v>471</v>
      </c>
      <c r="F1325" t="s">
        <v>166</v>
      </c>
      <c r="G1325" t="s">
        <v>167</v>
      </c>
      <c r="H1325" t="s">
        <v>35</v>
      </c>
      <c r="I1325" t="s">
        <v>311</v>
      </c>
      <c r="J1325" t="s">
        <v>1271</v>
      </c>
      <c r="K1325" t="str">
        <f>"DE7580A16C"</f>
        <v>0</v>
      </c>
      <c r="L1325">
        <v>529100</v>
      </c>
      <c r="M1325"/>
      <c r="N1325" t="s">
        <v>865</v>
      </c>
      <c r="O1325" t="s">
        <v>38</v>
      </c>
      <c r="P1325" t="s">
        <v>53</v>
      </c>
      <c r="Q1325" t="s">
        <v>38</v>
      </c>
      <c r="R1325" t="s">
        <v>38</v>
      </c>
      <c r="S1325" t="s">
        <v>42</v>
      </c>
      <c r="T1325" t="s">
        <v>42</v>
      </c>
      <c r="U1325" t="s">
        <v>861</v>
      </c>
      <c r="V1325" t="s">
        <v>636</v>
      </c>
      <c r="W1325" t="s">
        <v>861</v>
      </c>
      <c r="X1325" t="s">
        <v>824</v>
      </c>
      <c r="Y1325" t="s">
        <v>861</v>
      </c>
      <c r="Z1325" t="s">
        <v>47</v>
      </c>
      <c r="AA1325"/>
      <c r="AB1325"/>
      <c r="AC1325"/>
      <c r="AD1325" t="s">
        <v>638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2025-02-07T16:43:18+05:30</dcterms:created>
  <dcterms:modified xsi:type="dcterms:W3CDTF">2025-02-07T16:43:18+05:30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